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0"/>
  </bookViews>
  <sheets>
    <sheet name="Kostentabelle _ Fähigkeitsstand" sheetId="1" r:id="rId1"/>
    <sheet name="Mindest_EW Waffen" sheetId="2" r:id="rId2"/>
  </sheets>
  <definedNames>
    <definedName name="_xlnm.Print_Area" localSheetId="0">'Kostentabelle _ Fähigkeitsstand'!$A$4:$R$343</definedName>
    <definedName name="Excel_BuiltIn_Print_Area_1">'Kostentabelle _ Fähigkeitsstand'!$A$4:$R$246</definedName>
    <definedName name="AFS">'Kostentabelle _ Fähigkeitsstand'!$Z$4</definedName>
    <definedName name="AkinR">'Kostentabelle _ Fähigkeitsstand'!$W$144</definedName>
    <definedName name="Au">'Kostentabelle _ Fähigkeitsstand'!$Q$5</definedName>
    <definedName name="EWAbz">'Kostentabelle _ Fähigkeitsstand'!$P$119</definedName>
    <definedName name="Fig">'Kostentabelle _ Fähigkeitsstand'!$J$7</definedName>
    <definedName name="Ges">'Kostentabelle _ Fähigkeitsstand'!$J$5</definedName>
    <definedName name="Gesr">'Kostentabelle _ Fähigkeitsstand'!$J$6</definedName>
    <definedName name="Gew">'Kostentabelle _ Fähigkeitsstand'!$P$7</definedName>
    <definedName name="GMR">'Kostentabelle _ Fähigkeitsstand'!$R$119</definedName>
    <definedName name="Gr">'Kostentabelle _ Fähigkeitsstand'!$M$7</definedName>
    <definedName name="Int">'Kostentabelle _ Fähigkeitsstand'!$N$5</definedName>
    <definedName name="KFS">'Kostentabelle _ Fähigkeitsstand'!$Z$5</definedName>
    <definedName name="Kom">'Kostentabelle _ Fähigkeitsstand'!$M$5</definedName>
    <definedName name="Kons">'Kostentabelle _ Fähigkeitsstand'!$L$5</definedName>
    <definedName name="Konsr">'Kostentabelle _ Fähigkeitsstand'!$L$6</definedName>
    <definedName name="Kr">#N/A</definedName>
    <definedName name="Kr___0">'Kostentabelle _ Fähigkeitsstand'!$I$5</definedName>
    <definedName name="Krr">#N/A</definedName>
    <definedName name="Krr___0">'Kostentabelle _ Fähigkeitsstand'!$I$6</definedName>
    <definedName name="lerntab">#N/A</definedName>
    <definedName name="lerntab___0">'Kostentabelle _ Fähigkeitsstand'!$B$346:$B$465</definedName>
    <definedName name="Log">#N/A</definedName>
    <definedName name="Log___0">'Kostentabelle _ Fähigkeitsstand'!$M$5</definedName>
    <definedName name="MFS">#N/A</definedName>
    <definedName name="MFS___0">'Kostentabelle _ Fähigkeitsstand'!$Z$6</definedName>
    <definedName name="Mt">#N/A</definedName>
    <definedName name="Mt___0">'Kostentabelle _ Fähigkeitsstand'!$O$5</definedName>
    <definedName name="Schn">#N/A</definedName>
    <definedName name="Schn___0">'Kostentabelle _ Fähigkeitsstand'!$K$5</definedName>
    <definedName name="Schnr">#N/A</definedName>
    <definedName name="Schnr___0">'Kostentabelle _ Fähigkeitsstand'!$K$6</definedName>
    <definedName name="St">#N/A</definedName>
    <definedName name="St___0">'Kostentabelle _ Fähigkeitsstand'!$R$5</definedName>
    <definedName name="Stand">#N/A</definedName>
    <definedName name="Stand___0">'Kostentabelle _ Fähigkeitsstand'!$Q$6</definedName>
    <definedName name="Sym">#N/A</definedName>
    <definedName name="Sym___0">'Kostentabelle _ Fähigkeitsstand'!$P$5</definedName>
    <definedName name="Zb">#N/A</definedName>
    <definedName name="Zb___0">'Kostentabelle _ Fähigkeitsstand'!$Q$95</definedName>
  </definedNames>
  <calcPr fullCalcOnLoad="1"/>
</workbook>
</file>

<file path=xl/comments1.xml><?xml version="1.0" encoding="utf-8"?>
<comments xmlns="http://schemas.openxmlformats.org/spreadsheetml/2006/main">
  <authors>
    <author>HGi</author>
  </authors>
  <commentList>
    <comment ref="A4" authorId="0">
      <text>
        <r>
          <rPr>
            <sz val="10"/>
            <rFont val="MS Sans"/>
            <family val="2"/>
          </rPr>
          <t>Name der Figur hier eintragen.
Wird automatisch in die weiteren Namensfelder übertragen.</t>
        </r>
      </text>
    </comment>
    <comment ref="AA4" authorId="0">
      <text>
        <r>
          <rPr>
            <sz val="10"/>
            <rFont val="MS Sans"/>
            <family val="2"/>
          </rPr>
          <t>Punkte des Anfangslernen hier eintragen um FS zu korrigieren, Rundungsfehler zusätzlich weiter rechts berücksichtigen!</t>
        </r>
      </text>
    </comment>
    <comment ref="AE4" authorId="0">
      <text>
        <r>
          <rPr>
            <sz val="10"/>
            <rFont val="MS Sans"/>
            <family val="2"/>
          </rPr>
          <t>Manuelle Korrekturwerte für die Fähigkeitsstände, nötig um:
a) Rundungsfehler beim Anfangslernen auszugleichen;
b) Punkte-Verschiebungen nach Ändern von Eigenschaften (z.B. durch Trainingsfertigkeiten) auszugleichen.</t>
        </r>
      </text>
    </comment>
    <comment ref="H5" authorId="0">
      <text>
        <r>
          <rPr>
            <sz val="10"/>
            <rFont val="MS Sans"/>
            <family val="2"/>
          </rPr>
          <t>In diesen Felder die relativen und absoluten Basiswerte der Figur eintragen zur Berechnung der Lernkosten!</t>
        </r>
      </text>
    </comment>
    <comment ref="P6" authorId="0">
      <text>
        <r>
          <rPr>
            <sz val="10"/>
            <rFont val="MS Sans"/>
            <family val="2"/>
          </rPr>
          <t>In diese Felder Charakterwerte und Stand eintragen); Hinter Stand ggf. Sklave / frei eintragen (nur relevant bei Stand &lt; 16)</t>
        </r>
      </text>
    </comment>
    <comment ref="I7" authorId="0">
      <text>
        <r>
          <rPr>
            <sz val="10"/>
            <rFont val="MS Sans"/>
            <family val="2"/>
          </rPr>
          <t>Figur und Größe eintragen zur Berechnung von Gewicht (wenn menschlich) und weiteren Maßen (s.u.)</t>
        </r>
      </text>
    </comment>
    <comment ref="L7" authorId="0">
      <text>
        <r>
          <rPr>
            <sz val="10"/>
            <rFont val="MS Sans"/>
            <family val="2"/>
          </rPr>
          <t>Figur und Größe eintragen zur Berechnung von Gewicht (wenn menschlich) und weiteren Maßen (s.u.)</t>
        </r>
      </text>
    </comment>
    <comment ref="V10" authorId="0">
      <text>
        <r>
          <rPr>
            <sz val="10"/>
            <rFont val="MS Sans"/>
            <family val="2"/>
          </rPr>
          <t>Es ist am effektivsten, diesen Bereich nur für Berechnungen zu nutzen und die konkreten Sprachen dann bei „Sonstige Fertigkeiten für den AFS“ einzutragen</t>
        </r>
      </text>
    </comment>
    <comment ref="AH16" authorId="0">
      <text>
        <r>
          <rPr>
            <sz val="10"/>
            <rFont val="MS Sans"/>
            <family val="2"/>
          </rPr>
          <t>Bereich um frei zusätzliche Fertigkeiten (z.B. weitere Sprachen) eintragen zu können. FP müssen hier manuell eingetragen werden!</t>
        </r>
      </text>
    </comment>
    <comment ref="AH72" authorId="0">
      <text>
        <r>
          <rPr>
            <sz val="10"/>
            <rFont val="MS Sans"/>
            <family val="2"/>
          </rPr>
          <t>Hier eingetragene Fertigkeiten werden vom AFS wieder abgezogen (z.B. im Rahmen eines erweiterten Anfangslernens)!</t>
        </r>
      </text>
    </comment>
    <comment ref="AH93" authorId="0">
      <text>
        <r>
          <rPr>
            <sz val="10"/>
            <rFont val="MS Sans"/>
            <family val="2"/>
          </rPr>
          <t>Bereich um frei zusätzliche Fertigkeiten (z.B.  Scharfschießen für verschiedene Waffen) eintragen zu können. FP müssen hier manuell eingetragen werden!</t>
        </r>
      </text>
    </comment>
    <comment ref="L111" authorId="0">
      <text>
        <r>
          <rPr>
            <sz val="10"/>
            <rFont val="MS Sans"/>
            <family val="2"/>
          </rPr>
          <t>Erwürfelten Singen-Wert hier eintragen!</t>
        </r>
      </text>
    </comment>
    <comment ref="O119" authorId="0">
      <text>
        <r>
          <rPr>
            <sz val="10"/>
            <rFont val="MS Sans"/>
            <family val="2"/>
          </rPr>
          <t>Durch Eingabe der Rüstungswerte werden automatisch modifizierte Waffenwerte ermittelt!</t>
        </r>
      </text>
    </comment>
    <comment ref="AH144" authorId="0">
      <text>
        <r>
          <rPr>
            <sz val="10"/>
            <rFont val="MS Sans"/>
            <family val="2"/>
          </rPr>
          <t>Hier eingetragene Fertigkeiten werden vom KFS wieder abgezogen (z.B. im Rahmen eines erweiterten Anfangslernens)!</t>
        </r>
      </text>
    </comment>
    <comment ref="AH177" authorId="0">
      <text>
        <r>
          <rPr>
            <sz val="10"/>
            <rFont val="MS Sans"/>
            <family val="2"/>
          </rPr>
          <t>Bereich um frei zusätzliche Fertigkeiten (z.B. Midgard-Sprüche) eintragen zu können. FP müssen hier manuell eingetragen werden!</t>
        </r>
      </text>
    </comment>
    <comment ref="AH227" authorId="0">
      <text>
        <r>
          <rPr>
            <sz val="10"/>
            <rFont val="MS Sans"/>
            <family val="2"/>
          </rPr>
          <t>Hier eingetragene Fertigkeiten werden vom MFS wieder abgezogen (z.B. im Rahmen eines erweiterten Anfangslernens)!</t>
        </r>
      </text>
    </comment>
  </commentList>
</comments>
</file>

<file path=xl/sharedStrings.xml><?xml version="1.0" encoding="utf-8"?>
<sst xmlns="http://schemas.openxmlformats.org/spreadsheetml/2006/main" count="2306" uniqueCount="805">
  <si>
    <t>Eintragungen im Protokoll sollen im Prinzip nur in den blass-gelb gekennzeichneten Feldern erfolgen! Kommentare sind ggf. links von den Eintragungsfeldern bzw. -Bereichen eingefügt, die die Funktion der Felder erläutern.
Der linke Bereich kann als Tabelle fürs manuelle Lernen ausgedruckt werden.
Zur Sicherheit sind alle außer die blass-gelben Tabellenfelder (ohne Passwort) gesperrt.</t>
  </si>
  <si>
    <t>In diesem Bereich kann das Lernen einer Figur halb-automatisch erledigt werden, dabei werden auch automatisch die Fähigkeitsstände berechnet. Dazu müssen die EW- Werte in die entsprechenden Spalten eingetragen werden, beim Anfangslernen und Ändern von Basiseigenschaften muss ggf. durch Korrekturwerte kompensiert werden um die korrekten FS zu erhalten!
Automatische EW-Eintragungen vom Anfangslernen können dabei ggf. überschrieben werden.</t>
  </si>
  <si>
    <t>Reale Fähigkeitsstände:</t>
  </si>
  <si>
    <t>Steigerungen:</t>
  </si>
  <si>
    <t>ung. KT</t>
  </si>
  <si>
    <t>real</t>
  </si>
  <si>
    <t>Basislernen [Lp]</t>
  </si>
  <si>
    <t>gesamt</t>
  </si>
  <si>
    <t>Korrekturwerte</t>
  </si>
  <si>
    <t>Figur:</t>
  </si>
  <si>
    <t>Name bitte hier eintragen!</t>
  </si>
  <si>
    <t>Kr</t>
  </si>
  <si>
    <t>Ges</t>
  </si>
  <si>
    <t>Schn</t>
  </si>
  <si>
    <t>Kons</t>
  </si>
  <si>
    <t>Log</t>
  </si>
  <si>
    <t>Int</t>
  </si>
  <si>
    <t>Mt</t>
  </si>
  <si>
    <t>Sym</t>
  </si>
  <si>
    <t>Au</t>
  </si>
  <si>
    <t>St</t>
  </si>
  <si>
    <t>KP +</t>
  </si>
  <si>
    <t>Resist. +</t>
  </si>
  <si>
    <t>AFS</t>
  </si>
  <si>
    <t>FS = relevanter Fähigkeitsstand</t>
  </si>
  <si>
    <t>absolute Werte</t>
  </si>
  <si>
    <t>Abw. +</t>
  </si>
  <si>
    <t>Wahrn. +</t>
  </si>
  <si>
    <t>KFS</t>
  </si>
  <si>
    <t>Lg = Lehrgrenze</t>
  </si>
  <si>
    <t>relative Werte</t>
  </si>
  <si>
    <t>Stand:</t>
  </si>
  <si>
    <t>Sb +</t>
  </si>
  <si>
    <t>MP +</t>
  </si>
  <si>
    <t>MFS</t>
  </si>
  <si>
    <t>Summierbereich FS</t>
  </si>
  <si>
    <t>Größe [cm]:</t>
  </si>
  <si>
    <t>Gewicht [kg]:</t>
  </si>
  <si>
    <t>KEH:</t>
  </si>
  <si>
    <t>linke Spalte</t>
  </si>
  <si>
    <t>rechte Spalte</t>
  </si>
  <si>
    <t>Fertigkeit</t>
  </si>
  <si>
    <t>FS -Lg</t>
  </si>
  <si>
    <t>RKM</t>
  </si>
  <si>
    <t>LKF</t>
  </si>
  <si>
    <t>Talent</t>
  </si>
  <si>
    <t>%-Kost</t>
  </si>
  <si>
    <t>pers LKF</t>
  </si>
  <si>
    <t>FS - Lg</t>
  </si>
  <si>
    <t>EW</t>
  </si>
  <si>
    <t>Stufen</t>
  </si>
  <si>
    <t>FP</t>
  </si>
  <si>
    <t>Sonstige Fertigkeiten für den AFS</t>
  </si>
  <si>
    <t>Sprachen</t>
  </si>
  <si>
    <t xml:space="preserve"> </t>
  </si>
  <si>
    <t>Geschichtskunde - Land/Bereich [SF]</t>
  </si>
  <si>
    <t>A - 60</t>
  </si>
  <si>
    <t>Sprache (beliebige) [SF]</t>
  </si>
  <si>
    <t>A – 50</t>
  </si>
  <si>
    <t>Giftkunde [SF]</t>
  </si>
  <si>
    <t>EW(Heimatsprache)</t>
  </si>
  <si>
    <t>Sprachfamilie [BF]</t>
  </si>
  <si>
    <t>A – 40</t>
  </si>
  <si>
    <t>Handelskunde [SF]</t>
  </si>
  <si>
    <t>EW(Sprachfamilie Heimatsprache)</t>
  </si>
  <si>
    <t>Lesen/Schreiben – Alphabet [BF]</t>
  </si>
  <si>
    <t>A - 20</t>
  </si>
  <si>
    <t>Heilkunde – allgemein [BF]</t>
  </si>
  <si>
    <t>Heilkunde allgemein [BF]</t>
  </si>
  <si>
    <t>EW(1. Fremdsprache)</t>
  </si>
  <si>
    <t>Lesen/Schreiben – Sprache [SF]</t>
  </si>
  <si>
    <t>A - 55</t>
  </si>
  <si>
    <t>Kulturkunde [BF]</t>
  </si>
  <si>
    <t>EW(Sprachfamilie 1. Fremdsprache)</t>
  </si>
  <si>
    <t>Linguistik [SF]</t>
  </si>
  <si>
    <t>A – 60</t>
  </si>
  <si>
    <t>Kulturkunde-Kulturkreis [SF]</t>
  </si>
  <si>
    <t>EW(2. Fremdsprache)</t>
  </si>
  <si>
    <t>Berufsfertigkeiten</t>
  </si>
  <si>
    <t>Magiekunde [BF]</t>
  </si>
  <si>
    <t>EW(Sprachfamilie 2. Fremdsprache)</t>
  </si>
  <si>
    <t>Erste Hilfe [SF]</t>
  </si>
  <si>
    <t>Magiekunde-Bereich [SF]</t>
  </si>
  <si>
    <t>Massieren [SF]</t>
  </si>
  <si>
    <t>Mathematik [SF]</t>
  </si>
  <si>
    <t>Medizin [SF]</t>
  </si>
  <si>
    <t>Mechanik [SF]</t>
  </si>
  <si>
    <t>Schiffsführung [KF]</t>
  </si>
  <si>
    <t>A - 100</t>
  </si>
  <si>
    <t>Naturkunde [BF]</t>
  </si>
  <si>
    <t>EW Handwerk</t>
  </si>
  <si>
    <t>Handwerksfertigkeiten</t>
  </si>
  <si>
    <t>theor.</t>
  </si>
  <si>
    <t>Naturkunde-Region [SF]</t>
  </si>
  <si>
    <t>theoretisch</t>
  </si>
  <si>
    <t>Stufen th Handwerk</t>
  </si>
  <si>
    <t>Bautechnik [BF]</t>
  </si>
  <si>
    <t>s. SF</t>
  </si>
  <si>
    <t>Naturwissenschaft [BF]</t>
  </si>
  <si>
    <t>Gebäudebau</t>
  </si>
  <si>
    <t>Pflanzenkunde [BF]</t>
  </si>
  <si>
    <t>Erdbau</t>
  </si>
  <si>
    <t>Pflanzenkunde-Art [SF]</t>
  </si>
  <si>
    <t>Tunnelbau</t>
  </si>
  <si>
    <t>Pflanzenkunde-Region [SF]</t>
  </si>
  <si>
    <t>Holzbearbeitung [BF]</t>
  </si>
  <si>
    <t>Philosophie [BF]</t>
  </si>
  <si>
    <t>Bautischler</t>
  </si>
  <si>
    <t>Philosophie-Kulturkreis [SF]</t>
  </si>
  <si>
    <t>KöhlerIn</t>
  </si>
  <si>
    <t>Psychologie [BF]</t>
  </si>
  <si>
    <t>KüferIn</t>
  </si>
  <si>
    <t>Psychotherapie [SF]</t>
  </si>
  <si>
    <t>Möbelbau</t>
  </si>
  <si>
    <t>Rechtskunde [BF]</t>
  </si>
  <si>
    <t>Schiffsbau</t>
  </si>
  <si>
    <t>Rechtskunde-Kulturkreis [SF]</t>
  </si>
  <si>
    <t>Schnitzen</t>
  </si>
  <si>
    <t>Religionskunde [BF]</t>
  </si>
  <si>
    <t>Werkzeug/Wagenbau</t>
  </si>
  <si>
    <t>Religionskunde-Kulturkreis [SF]</t>
  </si>
  <si>
    <t>Fischerei [BF]</t>
  </si>
  <si>
    <t>Sagenkunde [BF]</t>
  </si>
  <si>
    <t>Binnengewässer</t>
  </si>
  <si>
    <t>Sagenkunde-Kulturkreis [SF]</t>
  </si>
  <si>
    <t>Hochsee</t>
  </si>
  <si>
    <t>Sapientenkunde Art/Rasse [SF]</t>
  </si>
  <si>
    <t>Küste</t>
  </si>
  <si>
    <t>Theor. Handwerk [BF]/[SF]</t>
  </si>
  <si>
    <t>1/2 x Handwerk</t>
  </si>
  <si>
    <t>Landwirtschaft [BF]</t>
  </si>
  <si>
    <t>Tierkunde [BF]</t>
  </si>
  <si>
    <t>Feldbau</t>
  </si>
  <si>
    <t>Tierkunde-Art [SF]</t>
  </si>
  <si>
    <t>Gärtnerei</t>
  </si>
  <si>
    <t>Tierkunde-Region [SF]</t>
  </si>
  <si>
    <t>ImkerIn</t>
  </si>
  <si>
    <t>Wetterkunde [SF]</t>
  </si>
  <si>
    <t>Obst/Baumfrüchte</t>
  </si>
  <si>
    <t>Bewegungsfertigkeiten</t>
  </si>
  <si>
    <t>Tierhaltung</t>
  </si>
  <si>
    <t>Balancieren [SF]</t>
  </si>
  <si>
    <t>K – 60</t>
  </si>
  <si>
    <t>Balancieren</t>
  </si>
  <si>
    <t>WinzerIn</t>
  </si>
  <si>
    <t>Bewegen [BF]</t>
  </si>
  <si>
    <t>Lebensmittelver.[BF]</t>
  </si>
  <si>
    <t>Bewegen-Wasser [BF]</t>
  </si>
  <si>
    <t>Lebensmittelverarbeitung [BF]</t>
  </si>
  <si>
    <t>Backen</t>
  </si>
  <si>
    <t>Bootsfahren [BF]</t>
  </si>
  <si>
    <t>Brauereibetrieb</t>
  </si>
  <si>
    <t>Hindernislauf [KF]</t>
  </si>
  <si>
    <t>K - 50</t>
  </si>
  <si>
    <t>Hindernislauf</t>
  </si>
  <si>
    <t>Brenneneibetrieb</t>
  </si>
  <si>
    <t>Klettern [BF]</t>
  </si>
  <si>
    <t>Kochen</t>
  </si>
  <si>
    <t>Baumklettern [SF]</t>
  </si>
  <si>
    <t>KonditorIn</t>
  </si>
  <si>
    <t>Bergsteigen [SF]</t>
  </si>
  <si>
    <t>MüllerIn</t>
  </si>
  <si>
    <t>Fassadenklettern [SF]</t>
  </si>
  <si>
    <t>SchlachterIn</t>
  </si>
  <si>
    <t>Landfahrzeuge Lenken [BF]</t>
  </si>
  <si>
    <t>Lederbearbeitung [BF]</t>
  </si>
  <si>
    <t>Laufen [SF]</t>
  </si>
  <si>
    <t>K – 70</t>
  </si>
  <si>
    <t>Laufen</t>
  </si>
  <si>
    <t>Abdeckerei/Gerberei</t>
  </si>
  <si>
    <t>Paddeln [SF]</t>
  </si>
  <si>
    <t>Paddeln</t>
  </si>
  <si>
    <t>Kürschnerei</t>
  </si>
  <si>
    <t>Reiten [BF]</t>
  </si>
  <si>
    <t>Reiten</t>
  </si>
  <si>
    <t>Sattlerei</t>
  </si>
  <si>
    <t>Rudern [SF]</t>
  </si>
  <si>
    <t>Rudern</t>
  </si>
  <si>
    <t>SchusterIn</t>
  </si>
  <si>
    <t>Schleichen [SF]</t>
  </si>
  <si>
    <t>A – 30</t>
  </si>
  <si>
    <t>Schleichen</t>
  </si>
  <si>
    <t>Metallbearbeitung [BF]</t>
  </si>
  <si>
    <t>s SF</t>
  </si>
  <si>
    <t>Schlittschuhlaufen [SF]</t>
  </si>
  <si>
    <t>Schlittschuhlaufen</t>
  </si>
  <si>
    <t>Edelsteinschleiferei</t>
  </si>
  <si>
    <t>Schwimmen [SF]</t>
  </si>
  <si>
    <t>Schwimmen</t>
  </si>
  <si>
    <t>Gießerei</t>
  </si>
  <si>
    <t>Segeln [SF]</t>
  </si>
  <si>
    <t>Segeln</t>
  </si>
  <si>
    <t>Huf-/WagenschmiedIn</t>
  </si>
  <si>
    <t>Skifahren [SF]</t>
  </si>
  <si>
    <t>Skifahren</t>
  </si>
  <si>
    <t>KunstschmiedIn</t>
  </si>
  <si>
    <t>Springen [SF]</t>
  </si>
  <si>
    <t>Springen</t>
  </si>
  <si>
    <t>Verhüttung</t>
  </si>
  <si>
    <t>Tauchen [SF]</t>
  </si>
  <si>
    <t>Tauchen</t>
  </si>
  <si>
    <t>WaffenschmiedIn</t>
  </si>
  <si>
    <t>Allgemeine AbenteurerInnen-Fertigkeiten</t>
  </si>
  <si>
    <t>WerkzeugschmiedIn</t>
  </si>
  <si>
    <t>Ausfragen/Verhören [SF]</t>
  </si>
  <si>
    <t>Papierherstellung[SF]</t>
  </si>
  <si>
    <t>Befehlen [SF]</t>
  </si>
  <si>
    <t>A – 35</t>
  </si>
  <si>
    <t>Steinbearbeitung [BF]</t>
  </si>
  <si>
    <t>Beschatten [SF]</t>
  </si>
  <si>
    <t>Steinbruchtechnik</t>
  </si>
  <si>
    <t>Diebestechnik [BF]</t>
  </si>
  <si>
    <t>SteinmetzIn</t>
  </si>
  <si>
    <t>Einschätzen [SF]</t>
  </si>
  <si>
    <t>Stoffbearbeitung [BF]</t>
  </si>
  <si>
    <t>Fallenkunde [SF]</t>
  </si>
  <si>
    <t>A – 45</t>
  </si>
  <si>
    <t>Nähen</t>
  </si>
  <si>
    <t>Gassenwissen [SF]</t>
  </si>
  <si>
    <t>A – 55</t>
  </si>
  <si>
    <t>weitere Abzüge für den AFS</t>
  </si>
  <si>
    <t>Segel/Zeltmacherei</t>
  </si>
  <si>
    <t>Glücksspiel [SF]</t>
  </si>
  <si>
    <t>A – 25</t>
  </si>
  <si>
    <t>Seilerei</t>
  </si>
  <si>
    <t>Heimlichkeit [BF]</t>
  </si>
  <si>
    <t>Spinnen</t>
  </si>
  <si>
    <t>Knotenkunde [SF]</t>
  </si>
  <si>
    <t>A – 70</t>
  </si>
  <si>
    <t>Sticken</t>
  </si>
  <si>
    <t>Lippenlesen [KF]</t>
  </si>
  <si>
    <t>Weben</t>
  </si>
  <si>
    <t>Menschenkenntnis [BF]</t>
  </si>
  <si>
    <t>Tonbearbeitung [BF]</t>
  </si>
  <si>
    <t>Meucheln [SF]</t>
  </si>
  <si>
    <t>Glasherstellung</t>
  </si>
  <si>
    <t>Orientierungsvermögen [SF]</t>
  </si>
  <si>
    <t>Porzelanherstellung</t>
  </si>
  <si>
    <t>Schlösser Öffnen [SF]</t>
  </si>
  <si>
    <t>Töpfern</t>
  </si>
  <si>
    <t>Spurenlesen [SF]</t>
  </si>
  <si>
    <t>Ziegelbrennen</t>
  </si>
  <si>
    <t>Stimmen Nachahmen [SF]</t>
  </si>
  <si>
    <t>Wissensfertigkeiten</t>
  </si>
  <si>
    <t>Tarnen [SF]</t>
  </si>
  <si>
    <t>A – 20</t>
  </si>
  <si>
    <t>Alchimie [SF]</t>
  </si>
  <si>
    <t>Taschendiebstahl [SF]</t>
  </si>
  <si>
    <t>Alchimie</t>
  </si>
  <si>
    <t>Anatomie [SF]</t>
  </si>
  <si>
    <t>Überlebenstechnik [BF]</t>
  </si>
  <si>
    <t>A - 35</t>
  </si>
  <si>
    <t>Anatomie</t>
  </si>
  <si>
    <t>Astronomie [SF]</t>
  </si>
  <si>
    <t>Überlebenstechnik-Region [SF]</t>
  </si>
  <si>
    <t>Astronomie</t>
  </si>
  <si>
    <t>Didaktik [SF]</t>
  </si>
  <si>
    <t>Überzeugungskraft [SF]</t>
  </si>
  <si>
    <t>A – 65</t>
  </si>
  <si>
    <t>Didaktik</t>
  </si>
  <si>
    <t>Ernährungskunde [SF]</t>
  </si>
  <si>
    <t>Verkleiden [SF]</t>
  </si>
  <si>
    <t>Ernährungskunde</t>
  </si>
  <si>
    <t>Geschichtskunde [BF]</t>
  </si>
  <si>
    <t>Seite 2 - Kampf, Musische + Trainingsfertigkeiten</t>
  </si>
  <si>
    <t>%-Kost.</t>
  </si>
  <si>
    <t>Trainingsfertigkeiten [AFS]</t>
  </si>
  <si>
    <t>Schminken (Au)</t>
  </si>
  <si>
    <t>Sonstige Fertigkeiten für den KFS</t>
  </si>
  <si>
    <t>Waffen- und Kampffertigkeiten</t>
  </si>
  <si>
    <t>Ratetraining (Int)</t>
  </si>
  <si>
    <t>Stimmausbildung (St)</t>
  </si>
  <si>
    <t>Nahkampfwaffen</t>
  </si>
  <si>
    <t>Reaktionstraining (Rv)</t>
  </si>
  <si>
    <t>Wahrnemungsvermögen (Wahrn.)</t>
  </si>
  <si>
    <t>Lg: Standard ist 5 (Ausnahmen!)</t>
  </si>
  <si>
    <t>Boxen [SF]</t>
  </si>
  <si>
    <t>K - 45</t>
  </si>
  <si>
    <t>Basiswerte der neuen Figur:</t>
  </si>
  <si>
    <t>Abhärtung</t>
  </si>
  <si>
    <t>Degen[SF]</t>
  </si>
  <si>
    <t>Rv</t>
  </si>
  <si>
    <t xml:space="preserve"> +1W10</t>
  </si>
  <si>
    <t>Zb</t>
  </si>
  <si>
    <t>Ausdauertraining</t>
  </si>
  <si>
    <t>Dolch[SF]</t>
  </si>
  <si>
    <t>KP-Basis</t>
  </si>
  <si>
    <t>Abwehr-Basis:</t>
  </si>
  <si>
    <t>Wahrnehmung-B.</t>
  </si>
  <si>
    <t>Autogenes Training</t>
  </si>
  <si>
    <t>Einhändiger Axtkampf[SF]</t>
  </si>
  <si>
    <t>B-S</t>
  </si>
  <si>
    <t xml:space="preserve"> +2W3</t>
  </si>
  <si>
    <t>B-L</t>
  </si>
  <si>
    <t xml:space="preserve"> +1W3</t>
  </si>
  <si>
    <t>B-M</t>
  </si>
  <si>
    <t>Denksport</t>
  </si>
  <si>
    <t>Einhändiger Hammerkampf[SF]</t>
  </si>
  <si>
    <t>HGW-Basis</t>
  </si>
  <si>
    <t>TFK</t>
  </si>
  <si>
    <t>RBF</t>
  </si>
  <si>
    <t>M-Gep-:</t>
  </si>
  <si>
    <t>Geschwindigkeitstraining</t>
  </si>
  <si>
    <t>Einhändiger Säbelkampf[SF]</t>
  </si>
  <si>
    <t>phk.Res.</t>
  </si>
  <si>
    <t>tem.Res.</t>
  </si>
  <si>
    <t>Schulterbreite (Mann/Frau):</t>
  </si>
  <si>
    <t>Fingerfertigkeit</t>
  </si>
  <si>
    <t>Einhändiger Schwertkampf[SF]</t>
  </si>
  <si>
    <t>Lum. Res.</t>
  </si>
  <si>
    <t>phs.Res.</t>
  </si>
  <si>
    <t>psy Res</t>
  </si>
  <si>
    <t>Tiefe (M/F):</t>
  </si>
  <si>
    <t>Konditionstraining</t>
  </si>
  <si>
    <t>Einhändiger Stab/Keulenkampf[SF]</t>
  </si>
  <si>
    <t>Startwerte der neuen Figur nach Standard-Schema</t>
  </si>
  <si>
    <t>Kraftraining</t>
  </si>
  <si>
    <t>Morgenstern[SF]</t>
  </si>
  <si>
    <t>EW(Bewegen)</t>
  </si>
  <si>
    <t>EW(Heimlichkeit)</t>
  </si>
  <si>
    <t>magische Konzentrationsfähigkeit</t>
  </si>
  <si>
    <t>Ringen [SF]</t>
  </si>
  <si>
    <t>EW(Laufen)</t>
  </si>
  <si>
    <t>EW(Knotenkunde)</t>
  </si>
  <si>
    <t>Psychologisches Auftrittstraining</t>
  </si>
  <si>
    <t>Säbelkampf[BF]</t>
  </si>
  <si>
    <t>EW(Klettern)</t>
  </si>
  <si>
    <t>EW(Orientierungsv.)</t>
  </si>
  <si>
    <t>Ratetraining</t>
  </si>
  <si>
    <t>Schlagwaffen[BF]</t>
  </si>
  <si>
    <t>EW(Springen)</t>
  </si>
  <si>
    <t>EW(Spurenlesen)</t>
  </si>
  <si>
    <t>Reaktionstraining</t>
  </si>
  <si>
    <t>Schwertkampf[BF]</t>
  </si>
  <si>
    <t>EW(Werfen)</t>
  </si>
  <si>
    <t>EW(Überzeugungskraft)</t>
  </si>
  <si>
    <t>Schminken</t>
  </si>
  <si>
    <t>Speerstechen[SF]</t>
  </si>
  <si>
    <t>EW(Ringen)</t>
  </si>
  <si>
    <t>EW(Verkleiden)</t>
  </si>
  <si>
    <t>Stimmausbildung</t>
  </si>
  <si>
    <t>Spieß/Stangenwaffen[BF]</t>
  </si>
  <si>
    <t>Wahrnehmungsvermögen</t>
  </si>
  <si>
    <t>Stangenwaffen-schlagend[SF]</t>
  </si>
  <si>
    <t>Stab/Keulenwaffen[BF]</t>
  </si>
  <si>
    <t>Parieren für Nahkampfwaffen</t>
  </si>
  <si>
    <t>Stichwaffen[BF]</t>
  </si>
  <si>
    <t>EW(Singen)     2W10 +</t>
  </si>
  <si>
    <t>Sturmangriff[SF]</t>
  </si>
  <si>
    <t>Wichte</t>
  </si>
  <si>
    <t>Tarnen</t>
  </si>
  <si>
    <t>RV</t>
  </si>
  <si>
    <t>+1W10</t>
  </si>
  <si>
    <t>Waffenloser Kampf [SF]</t>
  </si>
  <si>
    <t>Wüstenzwerginnen</t>
  </si>
  <si>
    <t>Wahrnehmung-B</t>
  </si>
  <si>
    <t>Orientierungsvermögen</t>
  </si>
  <si>
    <t>Waffenlose Kampfkünste [BF]</t>
  </si>
  <si>
    <t>Kobolde</t>
  </si>
  <si>
    <t>Hindernis laufen</t>
  </si>
  <si>
    <t>Zweihändiger Axtkampf [SF]</t>
  </si>
  <si>
    <t>Klettern</t>
  </si>
  <si>
    <t>Zweihändiger Hammerkampf[SF]</t>
  </si>
  <si>
    <t>Zweihändiger Kampfstab[SF]</t>
  </si>
  <si>
    <t>Zweihändiger Keulenkampf[SF]</t>
  </si>
  <si>
    <t>Verrechnungsbereich Anfangswerte:</t>
  </si>
  <si>
    <t>Zweihändiger Säbelkampf[SF]</t>
  </si>
  <si>
    <t>Rüstung:</t>
  </si>
  <si>
    <t>EW-Abz.:</t>
  </si>
  <si>
    <t>GMR:</t>
  </si>
  <si>
    <t>Zweihändiger Schwertkampf[SF]</t>
  </si>
  <si>
    <t>Waffenwerte</t>
  </si>
  <si>
    <t>KS</t>
  </si>
  <si>
    <t>GW-Z</t>
  </si>
  <si>
    <t>M GW-A</t>
  </si>
  <si>
    <t>R-Mod.</t>
  </si>
  <si>
    <t>Wurfwaffen</t>
  </si>
  <si>
    <t>Schwert</t>
  </si>
  <si>
    <t>EH</t>
  </si>
  <si>
    <t>EW(1. Fremdsparache)</t>
  </si>
  <si>
    <t>Speerschleuder[SF]</t>
  </si>
  <si>
    <t>ZH</t>
  </si>
  <si>
    <t>Speerwurf[SF]</t>
  </si>
  <si>
    <t>Säbel</t>
  </si>
  <si>
    <t>EW(2. Fremdsparache)</t>
  </si>
  <si>
    <t>Werfen [BF]</t>
  </si>
  <si>
    <t>K - 40</t>
  </si>
  <si>
    <t>Wurfaxt/hammer [SF]</t>
  </si>
  <si>
    <t>Dolch</t>
  </si>
  <si>
    <t>Wurfkeule[SF]</t>
  </si>
  <si>
    <t>Degen</t>
  </si>
  <si>
    <t>Wurfmesser [SF]</t>
  </si>
  <si>
    <t>Axt</t>
  </si>
  <si>
    <t>Wurfstern [SF]</t>
  </si>
  <si>
    <t>Fernwaffen</t>
  </si>
  <si>
    <t>Hammer</t>
  </si>
  <si>
    <t>EW(Singen) +2W10</t>
  </si>
  <si>
    <t>Armbrustschießen (allg.) [BF]</t>
  </si>
  <si>
    <t>Armbrustsch. mit ArmbrustXX [SF]</t>
  </si>
  <si>
    <t>Morgenstern</t>
  </si>
  <si>
    <t>Blasrohr Länge X [SF]</t>
  </si>
  <si>
    <t>Keule</t>
  </si>
  <si>
    <t>Baldsrohr (allg.) [BF]</t>
  </si>
  <si>
    <t>Blasrohr (allg.) [BF]</t>
  </si>
  <si>
    <t>Bogenschießen (allg.) [BF]</t>
  </si>
  <si>
    <t>Stab</t>
  </si>
  <si>
    <t>Bogenschießen mit BogenXX [SF]</t>
  </si>
  <si>
    <t>Schleuder [SF]</t>
  </si>
  <si>
    <t>K - 90</t>
  </si>
  <si>
    <t>Stangenwaffen</t>
  </si>
  <si>
    <t>Schleuder</t>
  </si>
  <si>
    <t>Abwehrwaffen</t>
  </si>
  <si>
    <t>stechend</t>
  </si>
  <si>
    <t>Buckler [SF]</t>
  </si>
  <si>
    <t>K - 25</t>
  </si>
  <si>
    <t>Leichter Schild [SF]</t>
  </si>
  <si>
    <t>schlagend</t>
  </si>
  <si>
    <t>Schildwaffen [BF]</t>
  </si>
  <si>
    <t>Hellebarde stechend</t>
  </si>
  <si>
    <t>Schwerer Schild [SF]</t>
  </si>
  <si>
    <t>Hellebarde Klingenschlag</t>
  </si>
  <si>
    <t>Sonstige Kampffertigkeiten</t>
  </si>
  <si>
    <t>Hellebarde Spitzenschlag</t>
  </si>
  <si>
    <t>weitere Abzüge für den KFS</t>
  </si>
  <si>
    <t>Beidhändiger Kampf [SF]</t>
  </si>
  <si>
    <t>K - 70</t>
  </si>
  <si>
    <t>s. Waffe</t>
  </si>
  <si>
    <t>entspricht Waffe[SF]</t>
  </si>
  <si>
    <t>Sturmangriff</t>
  </si>
  <si>
    <t xml:space="preserve"> +B/2</t>
  </si>
  <si>
    <t>aus Bewegung!</t>
  </si>
  <si>
    <t>Beidhändiger Kampf</t>
  </si>
  <si>
    <t>Aktion in schwerer Rüstung [KF]</t>
  </si>
  <si>
    <t xml:space="preserve"> -/-</t>
  </si>
  <si>
    <t>WS:</t>
  </si>
  <si>
    <t>Aktion in schwerer Rüstung</t>
  </si>
  <si>
    <t>Aktion vom Reittier – ReiterIn [KF]</t>
  </si>
  <si>
    <t>Speerwurf</t>
  </si>
  <si>
    <t>Aktion vom Reittier - ReiterIn</t>
  </si>
  <si>
    <t>Aktion vom Reittier – Tier [KF]</t>
  </si>
  <si>
    <t>K - 60</t>
  </si>
  <si>
    <t>Speerschleuder</t>
  </si>
  <si>
    <t>Aktion vom Reittier - Tier</t>
  </si>
  <si>
    <t>Aktion vom Streitwagen [KF]</t>
  </si>
  <si>
    <t>Wurfstärke(o B)</t>
  </si>
  <si>
    <t>WS/GW-Z</t>
  </si>
  <si>
    <t>Aktion vom Streitwagen</t>
  </si>
  <si>
    <t>Katapult [BF]</t>
  </si>
  <si>
    <t>Wurfmesser</t>
  </si>
  <si>
    <t>Wurf</t>
  </si>
  <si>
    <t>Parieren [SF]</t>
  </si>
  <si>
    <t>entspricht Waffe[BF] x 1,5</t>
  </si>
  <si>
    <t>Nahkampf</t>
  </si>
  <si>
    <t>Parieren</t>
  </si>
  <si>
    <t>s. rechts</t>
  </si>
  <si>
    <t>Scharfschießen [KF]</t>
  </si>
  <si>
    <t>K - 80</t>
  </si>
  <si>
    <t>Wurfaxt</t>
  </si>
  <si>
    <t>Scharfschießen</t>
  </si>
  <si>
    <t>Musische Fertigkeiten</t>
  </si>
  <si>
    <t>Akrobatik [SF]</t>
  </si>
  <si>
    <t>K – 50</t>
  </si>
  <si>
    <t>Wurfhammer</t>
  </si>
  <si>
    <t>Bildende Kunst [BF]</t>
  </si>
  <si>
    <t>Bildhauerei [SF]</t>
  </si>
  <si>
    <t>Wurfkeule</t>
  </si>
  <si>
    <t>Darstellung [BF]</t>
  </si>
  <si>
    <t>Jonglieren [SF]</t>
  </si>
  <si>
    <t>Wurfstern</t>
  </si>
  <si>
    <t>GW-Z= Dolch</t>
  </si>
  <si>
    <t>Komponieren [SF]</t>
  </si>
  <si>
    <t>waffenlose Kampftechniken</t>
  </si>
  <si>
    <t>Malerei [SF]</t>
  </si>
  <si>
    <t>Boxen</t>
  </si>
  <si>
    <t xml:space="preserve"> +Bon/2</t>
  </si>
  <si>
    <t>Musik [BF]</t>
  </si>
  <si>
    <t>Ringen</t>
  </si>
  <si>
    <t>Musizieren (Instrument) [SF]</t>
  </si>
  <si>
    <t>Waffenloser Kampf</t>
  </si>
  <si>
    <t>Rhetorik/Schreiben [SF]</t>
  </si>
  <si>
    <r>
      <t xml:space="preserve">Fernwaffen </t>
    </r>
    <r>
      <rPr>
        <b/>
        <sz val="6"/>
        <rFont val="SwitzerlandCondLight"/>
        <family val="2"/>
      </rPr>
      <t>(bei EW Schussstärken beachten!)</t>
    </r>
  </si>
  <si>
    <t>Schauspielerei [SF]</t>
  </si>
  <si>
    <t>Bogen</t>
  </si>
  <si>
    <t>Singen [SF]</t>
  </si>
  <si>
    <t>Armbrust-Schnellspannen</t>
  </si>
  <si>
    <t>Tanzen [SF]</t>
  </si>
  <si>
    <t>Armbrust-Standardspannen</t>
  </si>
  <si>
    <t>Verführen [SF]</t>
  </si>
  <si>
    <t>Blasrohr</t>
  </si>
  <si>
    <t>Blasstärke</t>
  </si>
  <si>
    <t>Abhärtung (LP-Max)</t>
  </si>
  <si>
    <t>Fingerfertigkeit (Ges)</t>
  </si>
  <si>
    <t>Abwehrwerte</t>
  </si>
  <si>
    <t>Ausdauertraining (Kons)</t>
  </si>
  <si>
    <t>Konditionstraining (KP-Basis)</t>
  </si>
  <si>
    <t>Buckler</t>
  </si>
  <si>
    <t>Autogenes Training (Sb)</t>
  </si>
  <si>
    <t>Krafttraining (Kr)</t>
  </si>
  <si>
    <t>Angriff</t>
  </si>
  <si>
    <t>Denksport (Log)</t>
  </si>
  <si>
    <t>Magische Konzentrationsfähigkeit (Mt)</t>
  </si>
  <si>
    <t>Leichter Schild</t>
  </si>
  <si>
    <t>Grenze:</t>
  </si>
  <si>
    <t>Geschwindigkeitstraining (Schn)</t>
  </si>
  <si>
    <t>Psychologisches Auftrittstraining Symr)</t>
  </si>
  <si>
    <t>Schwerer Schild</t>
  </si>
  <si>
    <t>Seite 3 - Magische Fertigkeiten</t>
  </si>
  <si>
    <t>Sonstige Fertigkeiten für den MFS</t>
  </si>
  <si>
    <t>Magische Fertigkeiten - Wissenschaftliches Magiesystem</t>
  </si>
  <si>
    <t>Magische Fertigkeiten - Seelenwanderung</t>
  </si>
  <si>
    <t>verbal</t>
  </si>
  <si>
    <t>Die Spruchlisten</t>
  </si>
  <si>
    <t>Ergänzungsfertigkeiten</t>
  </si>
  <si>
    <t>mental</t>
  </si>
  <si>
    <t>Umformen</t>
  </si>
  <si>
    <t>M - 25</t>
  </si>
  <si>
    <t>Seelenwanderung</t>
  </si>
  <si>
    <t>M – 60</t>
  </si>
  <si>
    <t>Level</t>
  </si>
  <si>
    <t>M – 90</t>
  </si>
  <si>
    <t>Magiepunktepotential</t>
  </si>
  <si>
    <t>M - 100</t>
  </si>
  <si>
    <t>Umwandeln</t>
  </si>
  <si>
    <t>1. Stufe</t>
  </si>
  <si>
    <t>Körper verlassen / Rückkehren</t>
  </si>
  <si>
    <t>Umkehr</t>
  </si>
  <si>
    <t>Seelensicht</t>
  </si>
  <si>
    <t>Größe-Ändern</t>
  </si>
  <si>
    <t>Sinnübertragung-Sehen</t>
  </si>
  <si>
    <t>Körper-Manipulation</t>
  </si>
  <si>
    <t>Sinnübertragung-Hören</t>
  </si>
  <si>
    <t>Sinnübertragung-Riechen</t>
  </si>
  <si>
    <t>Zeit-Manipulation</t>
  </si>
  <si>
    <t>2. Stufe</t>
  </si>
  <si>
    <t>Bewegen</t>
  </si>
  <si>
    <t>Abschirmen gegen fremde seelen</t>
  </si>
  <si>
    <t>Abschirmen gegen psychische Magie</t>
  </si>
  <si>
    <t>Sinnübertragung-Schmecken</t>
  </si>
  <si>
    <t>Heilungsmagie</t>
  </si>
  <si>
    <t>Handlungspotential-Sprache</t>
  </si>
  <si>
    <t>Wachstum</t>
  </si>
  <si>
    <t>3. Stufe</t>
  </si>
  <si>
    <t>Eindringen / Verlassen eines fremden Körpers</t>
  </si>
  <si>
    <t>Botschaft an den eigen Körper</t>
  </si>
  <si>
    <t>Sinn-Aufnahme</t>
  </si>
  <si>
    <t>Sinnübertragung-Tasten</t>
  </si>
  <si>
    <t>Handlungspotential-Manuell</t>
  </si>
  <si>
    <t>Sinn-Manipulation</t>
  </si>
  <si>
    <t>4. Stufe</t>
  </si>
  <si>
    <t>Seelenkontakt</t>
  </si>
  <si>
    <t>Runenmagie</t>
  </si>
  <si>
    <t>Kontrolle des fremden Körpers</t>
  </si>
  <si>
    <t>5. Stufe</t>
  </si>
  <si>
    <t>Magie-Manipulation</t>
  </si>
  <si>
    <t>Fremde Seele lösen</t>
  </si>
  <si>
    <t>Magie erkennen</t>
  </si>
  <si>
    <t>Liste X - verbale Ausführung</t>
  </si>
  <si>
    <t>Liste / 3</t>
  </si>
  <si>
    <t>???</t>
  </si>
  <si>
    <t>Gedankenlesen</t>
  </si>
  <si>
    <t>Liste X - mentale Ausführung</t>
  </si>
  <si>
    <t>Liste / 2</t>
  </si>
  <si>
    <t>6. Stufe</t>
  </si>
  <si>
    <t>Magische Verstärkungsfertigkeiten</t>
  </si>
  <si>
    <t>Abschirmung der Seele</t>
  </si>
  <si>
    <t>Wissenschaftliche Magie</t>
  </si>
  <si>
    <t>M – 65</t>
  </si>
  <si>
    <t>s- Liste</t>
  </si>
  <si>
    <t>Zeitreise der Seele</t>
  </si>
  <si>
    <t>Materiemagie</t>
  </si>
  <si>
    <t>Magieenergie aus Umfeld schöpfen</t>
  </si>
  <si>
    <t>Lichtmagie</t>
  </si>
  <si>
    <t>Magische Fertigkeiten – Traummagie</t>
  </si>
  <si>
    <t>Zeitmagie</t>
  </si>
  <si>
    <t>Allgemein</t>
  </si>
  <si>
    <t>Ebene wechseln</t>
  </si>
  <si>
    <t>M – 45</t>
  </si>
  <si>
    <t>Illusionsmagie</t>
  </si>
  <si>
    <t>Mitnehmen</t>
  </si>
  <si>
    <t>Hilfsfertigkeiten</t>
  </si>
  <si>
    <t>Wissen über die Schattenwelt</t>
  </si>
  <si>
    <t>Reichweite</t>
  </si>
  <si>
    <t>Wissen über die Traumwelten</t>
  </si>
  <si>
    <t>Objektgewicht-materiell</t>
  </si>
  <si>
    <t>Wissen über die Chaoswelten</t>
  </si>
  <si>
    <t>Objektanzahl-psychisch</t>
  </si>
  <si>
    <t>Von der Schattenwelt in die Chaoswelt wechseln</t>
  </si>
  <si>
    <t>Nachwirkung</t>
  </si>
  <si>
    <t>Schattenwelt</t>
  </si>
  <si>
    <t>Überlevelpotential-Wi.Magie</t>
  </si>
  <si>
    <t>M – 50</t>
  </si>
  <si>
    <t>Agieren in der Schattennwelt [BF]</t>
  </si>
  <si>
    <t>Überlevelpotential-Materiemagie</t>
  </si>
  <si>
    <t>Wechseln in die Schattenwelt</t>
  </si>
  <si>
    <t>Überlevelpotential-Lichtmagie</t>
  </si>
  <si>
    <t>Orientierung in der Schattenwelt</t>
  </si>
  <si>
    <t>Überlevelpotential-Zeitmagie</t>
  </si>
  <si>
    <t>Interaktion mit der realen Welt</t>
  </si>
  <si>
    <t>Überlevelpotential-Heilungsmagie</t>
  </si>
  <si>
    <t>Orientierung zur Realwelt</t>
  </si>
  <si>
    <t>Überlevelpotential-Illusionsmagie</t>
  </si>
  <si>
    <t>Traumwelt (Ebene des Geistes)</t>
  </si>
  <si>
    <t>Agieren in der Traumwelt [BF]</t>
  </si>
  <si>
    <t>Die Objektpotentiale</t>
  </si>
  <si>
    <t>Wechseln in die Traumwelt</t>
  </si>
  <si>
    <t>OP Einfache Materie [BF]</t>
  </si>
  <si>
    <t>Traumwelt gestalten</t>
  </si>
  <si>
    <t>OP-Stein/Metall [SF]</t>
  </si>
  <si>
    <t>Kommunizieren mit Träumenden</t>
  </si>
  <si>
    <t>Abzüge auf den MFS</t>
  </si>
  <si>
    <t>OP-Luft/Gas [SF]</t>
  </si>
  <si>
    <t>Untere Traumwelt (Ebene des Lebens)</t>
  </si>
  <si>
    <t>OP-Wasser/Flüssigkeit [SF]</t>
  </si>
  <si>
    <t>Agieren in der unterenlt [BF]</t>
  </si>
  <si>
    <t>OP-Feuer/Blitz [SF]</t>
  </si>
  <si>
    <t>Wechseln in die untere Traumwelt</t>
  </si>
  <si>
    <t>OP Komplexe Materie [BF]</t>
  </si>
  <si>
    <t>Träume erkennen und finden</t>
  </si>
  <si>
    <t>OP-Erde/Pflanzen [SF]</t>
  </si>
  <si>
    <t>OP-Organisches [SF]</t>
  </si>
  <si>
    <t>Tiefe Traumwelt (Ebene der Zeit)</t>
  </si>
  <si>
    <t>OP-Magie [SF]</t>
  </si>
  <si>
    <t>Agieren in der tiefen Traumwelt [BF]</t>
  </si>
  <si>
    <t>OP Einfache Sinne [BF]</t>
  </si>
  <si>
    <t>Wechseln in die tiefe Traumwelt</t>
  </si>
  <si>
    <t>OP-Sehen [SF]</t>
  </si>
  <si>
    <t>Träume erkennen und zuordnen</t>
  </si>
  <si>
    <t>OP-Hören [SF]</t>
  </si>
  <si>
    <t>Träumwelt verändern und gestalten</t>
  </si>
  <si>
    <t>OP-Temperatur [SF]</t>
  </si>
  <si>
    <t>Höhere Chaoswelt (Ebene des Raums)</t>
  </si>
  <si>
    <t>OP-Schmecken [SF]</t>
  </si>
  <si>
    <t>Agieren in der höheren Chaoswelt [BF]</t>
  </si>
  <si>
    <t>OP-Riechen [SF]</t>
  </si>
  <si>
    <t>Wechseln in die höhere Chaoswelt</t>
  </si>
  <si>
    <t>OP Komplexe Sinne [BF]</t>
  </si>
  <si>
    <t>Seelen finden und verbinden</t>
  </si>
  <si>
    <t>OP-Tasten [SF]</t>
  </si>
  <si>
    <t>Flüche gestalten</t>
  </si>
  <si>
    <t>OP-Gefühle [SF]</t>
  </si>
  <si>
    <t>Tiefere Chaoswelt (Ebene des Seins)</t>
  </si>
  <si>
    <t>OP-Willen/Gedanken [SF]</t>
  </si>
  <si>
    <t>s. liste</t>
  </si>
  <si>
    <t>Agieren in der tieferen Chaoswelt [BF]</t>
  </si>
  <si>
    <t>Wechseln in die tiefere Chaoswelt</t>
  </si>
  <si>
    <t>Groß-MagierInnen - Wissenschaftliches Magiesystem</t>
  </si>
  <si>
    <t>Große Magie</t>
  </si>
  <si>
    <t>M - 75</t>
  </si>
  <si>
    <t>s. Liste</t>
  </si>
  <si>
    <t>Magie beeinflussen</t>
  </si>
  <si>
    <t>Hohe Runenkunde</t>
  </si>
  <si>
    <t>Vergangenheitserkennung</t>
  </si>
  <si>
    <t>Kostensenkungspotential</t>
  </si>
  <si>
    <t>EW-Steigerungspotential</t>
  </si>
  <si>
    <t>Magiebeschleunigung</t>
  </si>
  <si>
    <t>M - 120</t>
  </si>
  <si>
    <t>Seite 4 – Magische Fertigkeiten</t>
  </si>
  <si>
    <t>Magische Fertigkeiten – Druiden</t>
  </si>
  <si>
    <t>Magische Fertigkeiten – Barden</t>
  </si>
  <si>
    <t>Weg des Steins</t>
  </si>
  <si>
    <t>Zyklen</t>
  </si>
  <si>
    <t xml:space="preserve">Stufe des Werdens und Sein </t>
  </si>
  <si>
    <t>Zyklus der Segnung</t>
  </si>
  <si>
    <t>LG 45</t>
  </si>
  <si>
    <t>Stufeder Ausdehnung</t>
  </si>
  <si>
    <t>Zyklus des Kampfes</t>
  </si>
  <si>
    <t>Stufe der Zeit</t>
  </si>
  <si>
    <t>Zyklus des Trennens</t>
  </si>
  <si>
    <t>Stufe des Lebens</t>
  </si>
  <si>
    <t>Zyklus der Zeit</t>
  </si>
  <si>
    <t>Stufe des Geistes</t>
  </si>
  <si>
    <t>Zyklus des Geistes</t>
  </si>
  <si>
    <t>Stufe der Magie</t>
  </si>
  <si>
    <t>Zusatzfertigkeiten</t>
  </si>
  <si>
    <t>Weg der Luft</t>
  </si>
  <si>
    <t>Stärkung des Bundes</t>
  </si>
  <si>
    <t>M – 100</t>
  </si>
  <si>
    <t>Wahl der Opfer</t>
  </si>
  <si>
    <t>Einflechten der Untermeoldie</t>
  </si>
  <si>
    <t>Mischen der Lieder</t>
  </si>
  <si>
    <t>Weg des Wassers</t>
  </si>
  <si>
    <t>Kontrolle des Musikbereiches</t>
  </si>
  <si>
    <t>Lieder</t>
  </si>
  <si>
    <t>Lieder mit LKF: 5</t>
  </si>
  <si>
    <t>Lieder mit LKF: 10</t>
  </si>
  <si>
    <t>Lieder mit LKF: 15</t>
  </si>
  <si>
    <t>Weg der Erde</t>
  </si>
  <si>
    <t>Lieder mit LKF 20</t>
  </si>
  <si>
    <t>Lieder mit LKF 25</t>
  </si>
  <si>
    <t>Lieder mit LKF 30</t>
  </si>
  <si>
    <t>Lieder mit LKF 35</t>
  </si>
  <si>
    <t>Lieder mit LKF 40</t>
  </si>
  <si>
    <t>Lieder mit LKF 45</t>
  </si>
  <si>
    <t>Lieder mit LKF 50</t>
  </si>
  <si>
    <t>Weg des Feuers</t>
  </si>
  <si>
    <t>Magische Fertigkeiten – Wassserpriester</t>
  </si>
  <si>
    <t>Magiebereiche</t>
  </si>
  <si>
    <t>Bewegung</t>
  </si>
  <si>
    <t>Zeit</t>
  </si>
  <si>
    <t>Ursprung</t>
  </si>
  <si>
    <t>Segnung</t>
  </si>
  <si>
    <t>Weg des Organischen</t>
  </si>
  <si>
    <t>Mehrfach zaubern</t>
  </si>
  <si>
    <t>s. Spruch</t>
  </si>
  <si>
    <t>Reichweite erweitern</t>
  </si>
  <si>
    <t>Magiekraft erhöhen</t>
  </si>
  <si>
    <t>Instentzauber</t>
  </si>
  <si>
    <t>Die Worte des Waldes</t>
  </si>
  <si>
    <t>Farbwechsel</t>
  </si>
  <si>
    <t>s- Stufe</t>
  </si>
  <si>
    <t>Sprüche</t>
  </si>
  <si>
    <t>Formwandel</t>
  </si>
  <si>
    <t>Sprüche mit LKF 5</t>
  </si>
  <si>
    <t>var.</t>
  </si>
  <si>
    <t>Temperatur</t>
  </si>
  <si>
    <t>Sprüche mit LKF 10</t>
  </si>
  <si>
    <t>Unsichtbar</t>
  </si>
  <si>
    <t>Sprüche mit LKF 15</t>
  </si>
  <si>
    <t>Veredeln</t>
  </si>
  <si>
    <t>Sprüche mit LKF 20</t>
  </si>
  <si>
    <t>Schwerelos</t>
  </si>
  <si>
    <t>Sprüche mit LKF 25</t>
  </si>
  <si>
    <t>Versteinern</t>
  </si>
  <si>
    <t>Sprüche mit LKF 30</t>
  </si>
  <si>
    <t>Auflösen</t>
  </si>
  <si>
    <t>Sprüche mit LKF 35</t>
  </si>
  <si>
    <t>Schmelzen</t>
  </si>
  <si>
    <t>Sprüche mit LKF 40</t>
  </si>
  <si>
    <t>Zerbröseln</t>
  </si>
  <si>
    <t>Sprüche mit LKF 45</t>
  </si>
  <si>
    <t>Brennen</t>
  </si>
  <si>
    <t>Sprüche mit LKF 50</t>
  </si>
  <si>
    <t>Magie</t>
  </si>
  <si>
    <t>Die Flüsse der höheren Magie</t>
  </si>
  <si>
    <t>Versteinern Luft/Feuer</t>
  </si>
  <si>
    <t>1. Ebene</t>
  </si>
  <si>
    <t>Auflösen Stein/Erde</t>
  </si>
  <si>
    <t>2. Ebene</t>
  </si>
  <si>
    <t>Schmelzen Feuer/Erde</t>
  </si>
  <si>
    <t>3. Ebene</t>
  </si>
  <si>
    <t>Zerbröseln Luft/Wasser</t>
  </si>
  <si>
    <t>4. Ebene</t>
  </si>
  <si>
    <t>Brennen Stein/Wasser</t>
  </si>
  <si>
    <t>Magische Fertigkeiten –Hexerei</t>
  </si>
  <si>
    <t>Die Worte der Zeit</t>
  </si>
  <si>
    <t>Zaubern</t>
  </si>
  <si>
    <t>Fixieren</t>
  </si>
  <si>
    <t>EW(Zaubern)</t>
  </si>
  <si>
    <t>Wandern</t>
  </si>
  <si>
    <t>Fliegen</t>
  </si>
  <si>
    <t>M – 40</t>
  </si>
  <si>
    <t>Schneller</t>
  </si>
  <si>
    <t>Teleport</t>
  </si>
  <si>
    <t>Zeitstop</t>
  </si>
  <si>
    <t>Die Worte des Lebens</t>
  </si>
  <si>
    <t>Ruhe</t>
  </si>
  <si>
    <t>Trennen</t>
  </si>
  <si>
    <t>Schliessen</t>
  </si>
  <si>
    <t>Stärke</t>
  </si>
  <si>
    <t>Schwächer</t>
  </si>
  <si>
    <t>Sprüche mit LKF 60</t>
  </si>
  <si>
    <t>Gebären</t>
  </si>
  <si>
    <t>Sprüche mit LKF 70</t>
  </si>
  <si>
    <t>Magische Fertigkeiten –Drachenmagie</t>
  </si>
  <si>
    <t>Sprüche mit LKF 80</t>
  </si>
  <si>
    <t>Die Pyramiden</t>
  </si>
  <si>
    <t>Sprüche mit LKF 90</t>
  </si>
  <si>
    <t>Pyramide des Lebens</t>
  </si>
  <si>
    <t>M – 25</t>
  </si>
  <si>
    <t>S-Ritual</t>
  </si>
  <si>
    <t>Sprüche mit LKF 100</t>
  </si>
  <si>
    <t>Pyramide des Geistes</t>
  </si>
  <si>
    <t>Sprüche mit LKF 110</t>
  </si>
  <si>
    <t>Pyramide der Materie</t>
  </si>
  <si>
    <t>Sprüche mit LKF 130</t>
  </si>
  <si>
    <t>Die Zauber</t>
  </si>
  <si>
    <t>Sprüche mit LKF 150</t>
  </si>
  <si>
    <t>Gleichnisse</t>
  </si>
  <si>
    <t>M – 75</t>
  </si>
  <si>
    <t>Sprüche mit LKF 170</t>
  </si>
  <si>
    <t>Kräfte</t>
  </si>
  <si>
    <t>Sprüche mit LKF 180</t>
  </si>
  <si>
    <t>Rituale</t>
  </si>
  <si>
    <t>Sprüche mit LKF 190</t>
  </si>
  <si>
    <t>Drachenkräfte</t>
  </si>
  <si>
    <t>Sprüche mit LKF 200</t>
  </si>
  <si>
    <t>Drachenflug</t>
  </si>
  <si>
    <t>Sprüche mit LKF 225</t>
  </si>
  <si>
    <t>Drachenschutz</t>
  </si>
  <si>
    <t>Hexenkräfte</t>
  </si>
  <si>
    <t>Drachenatem</t>
  </si>
  <si>
    <t>Band des Zirkels</t>
  </si>
  <si>
    <t>Rituale: var: men: RKM 30, verb: RKM 10, man: RKM -5, mat: RKM -10</t>
  </si>
  <si>
    <t>Feenkraft</t>
  </si>
  <si>
    <t>Lerntabelle NICHT LÖSCHEN!!!!!</t>
  </si>
  <si>
    <t xml:space="preserve">ungelernte Waffe </t>
  </si>
  <si>
    <t>gelernter</t>
  </si>
  <si>
    <t>Mindest-EW</t>
  </si>
  <si>
    <t>EW + EW[BF]</t>
  </si>
  <si>
    <t>in der Praxis</t>
  </si>
  <si>
    <t>in der Parxis</t>
  </si>
  <si>
    <t>Degen/Rapier[SF]</t>
  </si>
  <si>
    <t>Waffenlose Kampfkunst [BF]</t>
  </si>
  <si>
    <t>Zweihändiger Axtkampf [BF]</t>
  </si>
  <si>
    <t>Buckler - Angriff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</si>
</sst>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0.000"/>
  </numFmts>
  <fonts count="31">
    <font>
      <sz val="10"/>
      <name val="MS Sans"/>
      <family val="2"/>
    </font>
    <font>
      <sz val="10"/>
      <name val="Arial"/>
      <family val="0"/>
    </font>
    <font>
      <sz val="6"/>
      <name val="SwitzerlandCondensed"/>
      <family val="0"/>
    </font>
    <font>
      <sz val="9"/>
      <name val="SwitzerlandCondensed"/>
      <family val="0"/>
    </font>
    <font>
      <sz val="7"/>
      <name val="SwitzerlandCondLight"/>
      <family val="0"/>
    </font>
    <font>
      <b/>
      <sz val="7"/>
      <name val="SwitzerlandCondensed"/>
      <family val="0"/>
    </font>
    <font>
      <b/>
      <sz val="8"/>
      <name val="SwitzerlandCondensed"/>
      <family val="0"/>
    </font>
    <font>
      <sz val="8"/>
      <name val="SwitzerlandBlack"/>
      <family val="0"/>
    </font>
    <font>
      <b/>
      <sz val="8"/>
      <color indexed="22"/>
      <name val="SwitzerlandCondensed"/>
      <family val="0"/>
    </font>
    <font>
      <sz val="8"/>
      <name val="SwitzerlandCondensed"/>
      <family val="0"/>
    </font>
    <font>
      <sz val="7"/>
      <name val="SwitzerlandNarrow"/>
      <family val="0"/>
    </font>
    <font>
      <sz val="8"/>
      <name val="MS Sans"/>
      <family val="2"/>
    </font>
    <font>
      <b/>
      <sz val="8"/>
      <name val="SwitzerlandNarrow"/>
      <family val="0"/>
    </font>
    <font>
      <sz val="5"/>
      <name val="SwitzerlandCondensed"/>
      <family val="0"/>
    </font>
    <font>
      <sz val="6"/>
      <name val="SwitzerlandNarrow"/>
      <family val="0"/>
    </font>
    <font>
      <sz val="6"/>
      <name val="MS Sans"/>
      <family val="2"/>
    </font>
    <font>
      <b/>
      <sz val="7"/>
      <name val="Switzerland"/>
      <family val="0"/>
    </font>
    <font>
      <b/>
      <sz val="7"/>
      <name val="MS Sans"/>
      <family val="2"/>
    </font>
    <font>
      <sz val="7"/>
      <name val="MS Sans"/>
      <family val="2"/>
    </font>
    <font>
      <sz val="7"/>
      <name val="Switzerland"/>
      <family val="0"/>
    </font>
    <font>
      <sz val="7"/>
      <name val="SwitzerlandCondBlack"/>
      <family val="0"/>
    </font>
    <font>
      <sz val="7"/>
      <name val="SwitzerlandCondensed"/>
      <family val="0"/>
    </font>
    <font>
      <b/>
      <sz val="7"/>
      <name val="SwitzerlandCondLight"/>
      <family val="2"/>
    </font>
    <font>
      <b/>
      <sz val="5"/>
      <name val="SwitzerlandCondensed"/>
      <family val="0"/>
    </font>
    <font>
      <sz val="7"/>
      <color indexed="8"/>
      <name val="SwitzerlandCondLight"/>
      <family val="2"/>
    </font>
    <font>
      <sz val="6"/>
      <name val="SwitzerlandCondLight"/>
      <family val="0"/>
    </font>
    <font>
      <b/>
      <sz val="6"/>
      <name val="SwitzerlandCondLight"/>
      <family val="2"/>
    </font>
    <font>
      <sz val="10"/>
      <name val="SwitzerlandBlack"/>
      <family val="0"/>
    </font>
    <font>
      <b/>
      <sz val="10"/>
      <name val="Switzerland"/>
      <family val="2"/>
    </font>
    <font>
      <b/>
      <sz val="8"/>
      <name val="Switzerland"/>
      <family val="2"/>
    </font>
    <font>
      <b/>
      <sz val="8"/>
      <name val="MS Sans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22"/>
      </right>
      <top style="double">
        <color indexed="8"/>
      </top>
      <bottom style="medium">
        <color indexed="8"/>
      </bottom>
    </border>
    <border>
      <left style="hair">
        <color indexed="22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22"/>
      </right>
      <top style="hair">
        <color indexed="8"/>
      </top>
      <bottom>
        <color indexed="63"/>
      </bottom>
    </border>
    <border>
      <left style="hair">
        <color indexed="22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22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6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5" fillId="0" borderId="5" xfId="0" applyFont="1" applyFill="1" applyBorder="1" applyAlignment="1">
      <alignment horizontal="left"/>
    </xf>
    <xf numFmtId="164" fontId="6" fillId="0" borderId="6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right"/>
    </xf>
    <xf numFmtId="164" fontId="6" fillId="0" borderId="8" xfId="0" applyFont="1" applyFill="1" applyBorder="1" applyAlignment="1">
      <alignment horizontal="center"/>
    </xf>
    <xf numFmtId="164" fontId="5" fillId="2" borderId="9" xfId="0" applyFont="1" applyFill="1" applyBorder="1" applyAlignment="1">
      <alignment/>
    </xf>
    <xf numFmtId="164" fontId="5" fillId="0" borderId="10" xfId="0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9" xfId="0" applyFont="1" applyBorder="1" applyAlignment="1">
      <alignment horizontal="right"/>
    </xf>
    <xf numFmtId="164" fontId="5" fillId="0" borderId="11" xfId="0" applyFont="1" applyBorder="1" applyAlignment="1">
      <alignment horizontal="right"/>
    </xf>
    <xf numFmtId="164" fontId="7" fillId="0" borderId="2" xfId="0" applyFont="1" applyBorder="1" applyAlignment="1">
      <alignment horizontal="right"/>
    </xf>
    <xf numFmtId="164" fontId="7" fillId="3" borderId="3" xfId="0" applyFont="1" applyFill="1" applyBorder="1" applyAlignment="1" applyProtection="1">
      <alignment horizontal="left"/>
      <protection locked="0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8" fillId="4" borderId="13" xfId="0" applyFont="1" applyFill="1" applyBorder="1" applyAlignment="1" applyProtection="1">
      <alignment horizontal="center"/>
      <protection/>
    </xf>
    <xf numFmtId="164" fontId="6" fillId="0" borderId="14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5" xfId="0" applyFont="1" applyFill="1" applyBorder="1" applyAlignment="1" applyProtection="1">
      <alignment horizontal="right"/>
      <protection locked="0"/>
    </xf>
    <xf numFmtId="164" fontId="6" fillId="0" borderId="6" xfId="0" applyFont="1" applyFill="1" applyBorder="1" applyAlignment="1" applyProtection="1">
      <alignment horizontal="center"/>
      <protection locked="0"/>
    </xf>
    <xf numFmtId="164" fontId="6" fillId="0" borderId="7" xfId="0" applyFont="1" applyFill="1" applyBorder="1" applyAlignment="1" applyProtection="1">
      <alignment horizontal="right"/>
      <protection locked="0"/>
    </xf>
    <xf numFmtId="164" fontId="6" fillId="0" borderId="8" xfId="0" applyFont="1" applyFill="1" applyBorder="1" applyAlignment="1" applyProtection="1">
      <alignment horizontal="center"/>
      <protection locked="0"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5" xfId="0" applyFont="1" applyBorder="1" applyAlignment="1">
      <alignment horizontal="right"/>
    </xf>
    <xf numFmtId="164" fontId="5" fillId="3" borderId="15" xfId="0" applyFont="1" applyFill="1" applyBorder="1" applyAlignment="1" applyProtection="1">
      <alignment horizontal="right"/>
      <protection locked="0"/>
    </xf>
    <xf numFmtId="164" fontId="5" fillId="0" borderId="17" xfId="0" applyFont="1" applyFill="1" applyBorder="1" applyAlignment="1">
      <alignment horizontal="right"/>
    </xf>
    <xf numFmtId="164" fontId="5" fillId="3" borderId="17" xfId="0" applyFont="1" applyFill="1" applyBorder="1" applyAlignment="1" applyProtection="1">
      <alignment horizontal="right"/>
      <protection locked="0"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0" fillId="0" borderId="18" xfId="0" applyFont="1" applyFill="1" applyBorder="1" applyAlignment="1">
      <alignment horizontal="left"/>
    </xf>
    <xf numFmtId="164" fontId="11" fillId="0" borderId="0" xfId="0" applyFont="1" applyFill="1" applyBorder="1" applyAlignment="1">
      <alignment/>
    </xf>
    <xf numFmtId="164" fontId="11" fillId="0" borderId="19" xfId="0" applyFont="1" applyFill="1" applyBorder="1" applyAlignment="1">
      <alignment/>
    </xf>
    <xf numFmtId="164" fontId="11" fillId="4" borderId="20" xfId="0" applyFont="1" applyFill="1" applyBorder="1" applyAlignment="1">
      <alignment/>
    </xf>
    <xf numFmtId="165" fontId="11" fillId="4" borderId="20" xfId="0" applyNumberFormat="1" applyFont="1" applyFill="1" applyBorder="1" applyAlignment="1">
      <alignment/>
    </xf>
    <xf numFmtId="165" fontId="9" fillId="4" borderId="20" xfId="0" applyNumberFormat="1" applyFont="1" applyFill="1" applyBorder="1" applyAlignment="1">
      <alignment/>
    </xf>
    <xf numFmtId="164" fontId="12" fillId="0" borderId="18" xfId="0" applyFont="1" applyBorder="1" applyAlignment="1">
      <alignment horizontal="right"/>
    </xf>
    <xf numFmtId="164" fontId="12" fillId="0" borderId="21" xfId="0" applyFont="1" applyBorder="1" applyAlignment="1">
      <alignment horizontal="right"/>
    </xf>
    <xf numFmtId="165" fontId="6" fillId="3" borderId="22" xfId="0" applyNumberFormat="1" applyFont="1" applyFill="1" applyBorder="1" applyAlignment="1" applyProtection="1">
      <alignment horizontal="center"/>
      <protection locked="0"/>
    </xf>
    <xf numFmtId="164" fontId="6" fillId="3" borderId="22" xfId="0" applyFont="1" applyFill="1" applyBorder="1" applyAlignment="1" applyProtection="1">
      <alignment horizontal="center"/>
      <protection locked="0"/>
    </xf>
    <xf numFmtId="164" fontId="8" fillId="4" borderId="22" xfId="0" applyFont="1" applyFill="1" applyBorder="1" applyAlignment="1" applyProtection="1">
      <alignment horizontal="center"/>
      <protection/>
    </xf>
    <xf numFmtId="164" fontId="6" fillId="3" borderId="23" xfId="0" applyFont="1" applyFill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6" fillId="0" borderId="5" xfId="0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164" fontId="5" fillId="0" borderId="0" xfId="0" applyFont="1" applyFill="1" applyBorder="1" applyAlignment="1" applyProtection="1">
      <alignment horizontal="right"/>
      <protection locked="0"/>
    </xf>
    <xf numFmtId="164" fontId="9" fillId="0" borderId="0" xfId="0" applyFont="1" applyBorder="1" applyAlignment="1">
      <alignment horizontal="center"/>
    </xf>
    <xf numFmtId="164" fontId="10" fillId="0" borderId="24" xfId="0" applyFont="1" applyFill="1" applyBorder="1" applyAlignment="1">
      <alignment horizontal="left"/>
    </xf>
    <xf numFmtId="164" fontId="11" fillId="0" borderId="16" xfId="0" applyFont="1" applyFill="1" applyBorder="1" applyAlignment="1">
      <alignment/>
    </xf>
    <xf numFmtId="164" fontId="11" fillId="0" borderId="15" xfId="0" applyFont="1" applyFill="1" applyBorder="1" applyAlignment="1">
      <alignment/>
    </xf>
    <xf numFmtId="164" fontId="11" fillId="4" borderId="0" xfId="0" applyFont="1" applyFill="1" applyBorder="1" applyAlignment="1">
      <alignment/>
    </xf>
    <xf numFmtId="165" fontId="11" fillId="4" borderId="0" xfId="0" applyNumberFormat="1" applyFont="1" applyFill="1" applyBorder="1" applyAlignment="1">
      <alignment/>
    </xf>
    <xf numFmtId="165" fontId="9" fillId="4" borderId="0" xfId="0" applyNumberFormat="1" applyFont="1" applyFill="1" applyBorder="1" applyAlignment="1">
      <alignment/>
    </xf>
    <xf numFmtId="164" fontId="12" fillId="0" borderId="25" xfId="0" applyFont="1" applyBorder="1" applyAlignment="1">
      <alignment horizontal="right"/>
    </xf>
    <xf numFmtId="164" fontId="12" fillId="0" borderId="26" xfId="0" applyFont="1" applyBorder="1" applyAlignment="1">
      <alignment horizontal="right"/>
    </xf>
    <xf numFmtId="165" fontId="6" fillId="3" borderId="27" xfId="0" applyNumberFormat="1" applyFont="1" applyFill="1" applyBorder="1" applyAlignment="1" applyProtection="1">
      <alignment horizontal="center"/>
      <protection locked="0"/>
    </xf>
    <xf numFmtId="164" fontId="6" fillId="3" borderId="27" xfId="0" applyFont="1" applyFill="1" applyBorder="1" applyAlignment="1" applyProtection="1">
      <alignment horizontal="center"/>
      <protection locked="0"/>
    </xf>
    <xf numFmtId="164" fontId="6" fillId="4" borderId="0" xfId="0" applyFont="1" applyFill="1" applyBorder="1" applyAlignment="1">
      <alignment horizontal="center"/>
    </xf>
    <xf numFmtId="164" fontId="6" fillId="0" borderId="25" xfId="0" applyFont="1" applyFill="1" applyBorder="1" applyAlignment="1">
      <alignment horizontal="center"/>
    </xf>
    <xf numFmtId="164" fontId="6" fillId="3" borderId="28" xfId="0" applyFont="1" applyFill="1" applyBorder="1" applyAlignment="1" applyProtection="1">
      <alignment horizontal="center"/>
      <protection locked="0"/>
    </xf>
    <xf numFmtId="164" fontId="11" fillId="4" borderId="29" xfId="0" applyFont="1" applyFill="1" applyBorder="1" applyAlignment="1" applyProtection="1">
      <alignment/>
      <protection locked="0"/>
    </xf>
    <xf numFmtId="164" fontId="6" fillId="0" borderId="0" xfId="0" applyFont="1" applyBorder="1" applyAlignment="1">
      <alignment horizontal="left"/>
    </xf>
    <xf numFmtId="164" fontId="5" fillId="0" borderId="30" xfId="0" applyFont="1" applyBorder="1" applyAlignment="1">
      <alignment/>
    </xf>
    <xf numFmtId="164" fontId="5" fillId="0" borderId="31" xfId="0" applyFont="1" applyBorder="1" applyAlignment="1">
      <alignment/>
    </xf>
    <xf numFmtId="164" fontId="5" fillId="0" borderId="30" xfId="0" applyFont="1" applyBorder="1" applyAlignment="1">
      <alignment horizontal="right"/>
    </xf>
    <xf numFmtId="164" fontId="5" fillId="3" borderId="30" xfId="0" applyFont="1" applyFill="1" applyBorder="1" applyAlignment="1" applyProtection="1">
      <alignment horizontal="right"/>
      <protection locked="0"/>
    </xf>
    <xf numFmtId="164" fontId="5" fillId="0" borderId="32" xfId="0" applyFont="1" applyFill="1" applyBorder="1" applyAlignment="1">
      <alignment horizontal="right"/>
    </xf>
    <xf numFmtId="164" fontId="5" fillId="3" borderId="32" xfId="0" applyFont="1" applyFill="1" applyBorder="1" applyAlignment="1" applyProtection="1">
      <alignment horizontal="right"/>
      <protection locked="0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14" fillId="4" borderId="36" xfId="0" applyFont="1" applyFill="1" applyBorder="1" applyAlignment="1">
      <alignment horizontal="left"/>
    </xf>
    <xf numFmtId="164" fontId="11" fillId="4" borderId="31" xfId="0" applyFont="1" applyFill="1" applyBorder="1" applyAlignment="1">
      <alignment/>
    </xf>
    <xf numFmtId="165" fontId="11" fillId="4" borderId="31" xfId="0" applyNumberFormat="1" applyFont="1" applyFill="1" applyBorder="1" applyAlignment="1">
      <alignment/>
    </xf>
    <xf numFmtId="165" fontId="9" fillId="4" borderId="31" xfId="0" applyNumberFormat="1" applyFont="1" applyFill="1" applyBorder="1" applyAlignment="1">
      <alignment/>
    </xf>
    <xf numFmtId="164" fontId="12" fillId="4" borderId="31" xfId="0" applyFont="1" applyFill="1" applyBorder="1" applyAlignment="1">
      <alignment horizontal="right"/>
    </xf>
    <xf numFmtId="165" fontId="6" fillId="0" borderId="2" xfId="0" applyNumberFormat="1" applyFont="1" applyBorder="1" applyAlignment="1" applyProtection="1">
      <alignment horizontal="right"/>
      <protection locked="0"/>
    </xf>
    <xf numFmtId="165" fontId="6" fillId="3" borderId="3" xfId="0" applyNumberFormat="1" applyFont="1" applyFill="1" applyBorder="1" applyAlignment="1" applyProtection="1">
      <alignment horizontal="center"/>
      <protection locked="0"/>
    </xf>
    <xf numFmtId="164" fontId="15" fillId="0" borderId="37" xfId="0" applyFont="1" applyBorder="1" applyAlignment="1">
      <alignment horizontal="center"/>
    </xf>
    <xf numFmtId="164" fontId="6" fillId="0" borderId="3" xfId="0" applyFont="1" applyBorder="1" applyAlignment="1" applyProtection="1">
      <alignment horizontal="right"/>
      <protection locked="0"/>
    </xf>
    <xf numFmtId="164" fontId="6" fillId="3" borderId="3" xfId="0" applyFont="1" applyFill="1" applyBorder="1" applyAlignment="1" applyProtection="1">
      <alignment horizontal="center"/>
      <protection locked="0"/>
    </xf>
    <xf numFmtId="164" fontId="6" fillId="0" borderId="37" xfId="0" applyFont="1" applyBorder="1" applyAlignment="1">
      <alignment horizontal="right"/>
    </xf>
    <xf numFmtId="164" fontId="6" fillId="0" borderId="3" xfId="0" applyFont="1" applyBorder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4" borderId="31" xfId="0" applyFont="1" applyFill="1" applyBorder="1" applyAlignment="1">
      <alignment horizontal="center"/>
    </xf>
    <xf numFmtId="164" fontId="11" fillId="4" borderId="32" xfId="0" applyFont="1" applyFill="1" applyBorder="1" applyAlignment="1">
      <alignment/>
    </xf>
    <xf numFmtId="164" fontId="6" fillId="0" borderId="18" xfId="0" applyFont="1" applyFill="1" applyBorder="1" applyAlignment="1">
      <alignment horizontal="right"/>
    </xf>
    <xf numFmtId="164" fontId="6" fillId="0" borderId="19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5" fillId="0" borderId="31" xfId="0" applyFont="1" applyBorder="1" applyAlignment="1">
      <alignment horizontal="right"/>
    </xf>
    <xf numFmtId="164" fontId="5" fillId="0" borderId="32" xfId="0" applyFont="1" applyBorder="1" applyAlignment="1">
      <alignment horizontal="right"/>
    </xf>
    <xf numFmtId="164" fontId="5" fillId="0" borderId="0" xfId="0" applyFont="1" applyFill="1" applyBorder="1" applyAlignment="1">
      <alignment horizontal="right"/>
    </xf>
    <xf numFmtId="164" fontId="6" fillId="0" borderId="38" xfId="0" applyFont="1" applyBorder="1" applyAlignment="1">
      <alignment/>
    </xf>
    <xf numFmtId="164" fontId="6" fillId="0" borderId="39" xfId="0" applyFont="1" applyBorder="1" applyAlignment="1">
      <alignment/>
    </xf>
    <xf numFmtId="164" fontId="16" fillId="0" borderId="2" xfId="0" applyFont="1" applyBorder="1" applyAlignment="1">
      <alignment/>
    </xf>
    <xf numFmtId="164" fontId="16" fillId="0" borderId="3" xfId="0" applyFont="1" applyBorder="1" applyAlignment="1">
      <alignment/>
    </xf>
    <xf numFmtId="164" fontId="16" fillId="0" borderId="40" xfId="0" applyFont="1" applyBorder="1" applyAlignment="1">
      <alignment/>
    </xf>
    <xf numFmtId="164" fontId="16" fillId="0" borderId="13" xfId="0" applyFont="1" applyBorder="1" applyAlignment="1">
      <alignment horizontal="center"/>
    </xf>
    <xf numFmtId="165" fontId="16" fillId="0" borderId="13" xfId="0" applyNumberFormat="1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16" fillId="0" borderId="40" xfId="0" applyFont="1" applyBorder="1" applyAlignment="1">
      <alignment horizontal="center"/>
    </xf>
    <xf numFmtId="164" fontId="17" fillId="0" borderId="0" xfId="0" applyFont="1" applyBorder="1" applyAlignment="1">
      <alignment/>
    </xf>
    <xf numFmtId="164" fontId="16" fillId="0" borderId="14" xfId="0" applyFont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8" fillId="0" borderId="0" xfId="0" applyFont="1" applyBorder="1" applyAlignment="1">
      <alignment/>
    </xf>
    <xf numFmtId="164" fontId="16" fillId="0" borderId="2" xfId="0" applyFont="1" applyFill="1" applyBorder="1" applyAlignment="1">
      <alignment/>
    </xf>
    <xf numFmtId="164" fontId="13" fillId="0" borderId="20" xfId="0" applyFont="1" applyBorder="1" applyAlignment="1">
      <alignment horizontal="center"/>
    </xf>
    <xf numFmtId="164" fontId="13" fillId="0" borderId="41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6" fillId="0" borderId="42" xfId="0" applyFont="1" applyBorder="1" applyAlignment="1">
      <alignment/>
    </xf>
    <xf numFmtId="164" fontId="5" fillId="0" borderId="5" xfId="0" applyFont="1" applyBorder="1" applyAlignment="1">
      <alignment/>
    </xf>
    <xf numFmtId="164" fontId="20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6" xfId="0" applyFont="1" applyBorder="1" applyAlignment="1">
      <alignment horizontal="center"/>
    </xf>
    <xf numFmtId="164" fontId="4" fillId="0" borderId="43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7" fontId="5" fillId="0" borderId="44" xfId="0" applyNumberFormat="1" applyFont="1" applyBorder="1" applyAlignment="1">
      <alignment horizontal="center"/>
    </xf>
    <xf numFmtId="164" fontId="21" fillId="0" borderId="6" xfId="0" applyFont="1" applyBorder="1" applyAlignment="1">
      <alignment/>
    </xf>
    <xf numFmtId="164" fontId="21" fillId="0" borderId="43" xfId="0" applyFont="1" applyBorder="1" applyAlignment="1">
      <alignment/>
    </xf>
    <xf numFmtId="164" fontId="21" fillId="3" borderId="27" xfId="0" applyFont="1" applyFill="1" applyBorder="1" applyAlignment="1" applyProtection="1">
      <alignment horizontal="center"/>
      <protection locked="0"/>
    </xf>
    <xf numFmtId="164" fontId="21" fillId="0" borderId="27" xfId="0" applyFont="1" applyBorder="1" applyAlignment="1">
      <alignment horizontal="center"/>
    </xf>
    <xf numFmtId="164" fontId="21" fillId="0" borderId="44" xfId="0" applyNumberFormat="1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6" fillId="0" borderId="13" xfId="0" applyFont="1" applyFill="1" applyBorder="1" applyAlignment="1">
      <alignment horizontal="center"/>
    </xf>
    <xf numFmtId="164" fontId="16" fillId="0" borderId="14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21" fillId="0" borderId="42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43" xfId="0" applyFont="1" applyBorder="1" applyAlignment="1">
      <alignment/>
    </xf>
    <xf numFmtId="165" fontId="4" fillId="0" borderId="27" xfId="0" applyNumberFormat="1" applyFont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4" fontId="4" fillId="0" borderId="45" xfId="0" applyFont="1" applyFill="1" applyBorder="1" applyAlignment="1">
      <alignment/>
    </xf>
    <xf numFmtId="165" fontId="21" fillId="3" borderId="27" xfId="0" applyNumberFormat="1" applyFont="1" applyFill="1" applyBorder="1" applyAlignment="1" applyProtection="1">
      <alignment horizontal="center"/>
      <protection locked="0"/>
    </xf>
    <xf numFmtId="164" fontId="21" fillId="3" borderId="46" xfId="0" applyFont="1" applyFill="1" applyBorder="1" applyAlignment="1" applyProtection="1">
      <alignment horizontal="center"/>
      <protection locked="0"/>
    </xf>
    <xf numFmtId="164" fontId="21" fillId="0" borderId="0" xfId="0" applyFont="1" applyBorder="1" applyAlignment="1">
      <alignment/>
    </xf>
    <xf numFmtId="165" fontId="21" fillId="3" borderId="8" xfId="0" applyNumberFormat="1" applyFont="1" applyFill="1" applyBorder="1" applyAlignment="1" applyProtection="1">
      <alignment horizontal="center"/>
      <protection locked="0"/>
    </xf>
    <xf numFmtId="165" fontId="21" fillId="3" borderId="44" xfId="0" applyNumberFormat="1" applyFont="1" applyFill="1" applyBorder="1" applyAlignment="1" applyProtection="1">
      <alignment horizontal="center"/>
      <protection locked="0"/>
    </xf>
    <xf numFmtId="164" fontId="5" fillId="0" borderId="47" xfId="0" applyFont="1" applyBorder="1" applyAlignment="1">
      <alignment/>
    </xf>
    <xf numFmtId="164" fontId="20" fillId="0" borderId="48" xfId="0" applyFont="1" applyBorder="1" applyAlignment="1">
      <alignment/>
    </xf>
    <xf numFmtId="164" fontId="5" fillId="0" borderId="48" xfId="0" applyFont="1" applyBorder="1" applyAlignment="1">
      <alignment horizontal="center"/>
    </xf>
    <xf numFmtId="165" fontId="5" fillId="0" borderId="48" xfId="0" applyNumberFormat="1" applyFont="1" applyBorder="1" applyAlignment="1">
      <alignment horizontal="center"/>
    </xf>
    <xf numFmtId="166" fontId="21" fillId="0" borderId="48" xfId="0" applyNumberFormat="1" applyFont="1" applyBorder="1" applyAlignment="1">
      <alignment horizontal="center"/>
    </xf>
    <xf numFmtId="167" fontId="5" fillId="0" borderId="49" xfId="0" applyNumberFormat="1" applyFont="1" applyBorder="1" applyAlignment="1">
      <alignment horizontal="center"/>
    </xf>
    <xf numFmtId="164" fontId="5" fillId="0" borderId="48" xfId="0" applyFont="1" applyFill="1" applyBorder="1" applyAlignment="1" applyProtection="1">
      <alignment horizontal="center"/>
      <protection locked="0"/>
    </xf>
    <xf numFmtId="164" fontId="21" fillId="0" borderId="49" xfId="0" applyNumberFormat="1" applyFont="1" applyBorder="1" applyAlignment="1">
      <alignment horizontal="center"/>
    </xf>
    <xf numFmtId="164" fontId="21" fillId="3" borderId="5" xfId="0" applyFont="1" applyFill="1" applyBorder="1" applyAlignment="1" applyProtection="1">
      <alignment/>
      <protection locked="0"/>
    </xf>
    <xf numFmtId="164" fontId="4" fillId="0" borderId="5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43" xfId="0" applyFont="1" applyFill="1" applyBorder="1" applyAlignment="1">
      <alignment/>
    </xf>
    <xf numFmtId="164" fontId="4" fillId="0" borderId="27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4" fontId="4" fillId="0" borderId="47" xfId="0" applyFont="1" applyBorder="1" applyAlignment="1">
      <alignment/>
    </xf>
    <xf numFmtId="164" fontId="4" fillId="0" borderId="48" xfId="0" applyFont="1" applyBorder="1" applyAlignment="1">
      <alignment/>
    </xf>
    <xf numFmtId="164" fontId="5" fillId="0" borderId="50" xfId="0" applyFont="1" applyBorder="1" applyAlignment="1">
      <alignment/>
    </xf>
    <xf numFmtId="164" fontId="21" fillId="3" borderId="8" xfId="0" applyFont="1" applyFill="1" applyBorder="1" applyAlignment="1" applyProtection="1">
      <alignment horizontal="center"/>
      <protection locked="0"/>
    </xf>
    <xf numFmtId="164" fontId="5" fillId="0" borderId="2" xfId="0" applyFont="1" applyBorder="1" applyAlignment="1">
      <alignment/>
    </xf>
    <xf numFmtId="164" fontId="21" fillId="0" borderId="40" xfId="0" applyFont="1" applyBorder="1" applyAlignment="1">
      <alignment/>
    </xf>
    <xf numFmtId="164" fontId="22" fillId="0" borderId="13" xfId="0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1" fillId="0" borderId="6" xfId="0" applyFont="1" applyFill="1" applyBorder="1" applyAlignment="1" applyProtection="1">
      <alignment horizontal="center"/>
      <protection locked="0"/>
    </xf>
    <xf numFmtId="164" fontId="21" fillId="0" borderId="6" xfId="0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164" fontId="5" fillId="0" borderId="51" xfId="0" applyFont="1" applyBorder="1" applyAlignment="1">
      <alignment/>
    </xf>
    <xf numFmtId="164" fontId="10" fillId="0" borderId="24" xfId="0" applyFont="1" applyBorder="1" applyAlignment="1">
      <alignment/>
    </xf>
    <xf numFmtId="164" fontId="4" fillId="0" borderId="16" xfId="0" applyFont="1" applyBorder="1" applyAlignment="1">
      <alignment horizontal="right"/>
    </xf>
    <xf numFmtId="164" fontId="21" fillId="0" borderId="5" xfId="0" applyFont="1" applyBorder="1" applyAlignment="1">
      <alignment/>
    </xf>
    <xf numFmtId="164" fontId="18" fillId="3" borderId="51" xfId="0" applyFont="1" applyFill="1" applyBorder="1" applyAlignment="1" applyProtection="1">
      <alignment/>
      <protection locked="0"/>
    </xf>
    <xf numFmtId="164" fontId="4" fillId="0" borderId="5" xfId="0" applyFont="1" applyBorder="1" applyAlignment="1">
      <alignment horizontal="left" indent="1"/>
    </xf>
    <xf numFmtId="164" fontId="4" fillId="0" borderId="6" xfId="0" applyFont="1" applyBorder="1" applyAlignment="1">
      <alignment horizontal="left" indent="2"/>
    </xf>
    <xf numFmtId="164" fontId="18" fillId="0" borderId="5" xfId="0" applyFont="1" applyBorder="1" applyAlignment="1">
      <alignment/>
    </xf>
    <xf numFmtId="164" fontId="4" fillId="0" borderId="6" xfId="0" applyFont="1" applyBorder="1" applyAlignment="1">
      <alignment horizontal="right"/>
    </xf>
    <xf numFmtId="164" fontId="20" fillId="3" borderId="5" xfId="0" applyFont="1" applyFill="1" applyBorder="1" applyAlignment="1" applyProtection="1">
      <alignment/>
      <protection locked="0"/>
    </xf>
    <xf numFmtId="164" fontId="18" fillId="0" borderId="6" xfId="0" applyFont="1" applyBorder="1" applyAlignment="1">
      <alignment/>
    </xf>
    <xf numFmtId="166" fontId="4" fillId="0" borderId="27" xfId="0" applyNumberFormat="1" applyFont="1" applyBorder="1" applyAlignment="1">
      <alignment horizontal="right"/>
    </xf>
    <xf numFmtId="164" fontId="21" fillId="0" borderId="27" xfId="0" applyFont="1" applyFill="1" applyBorder="1" applyAlignment="1" applyProtection="1">
      <alignment horizontal="center"/>
      <protection locked="0"/>
    </xf>
    <xf numFmtId="164" fontId="5" fillId="0" borderId="5" xfId="0" applyFont="1" applyBorder="1" applyAlignment="1">
      <alignment horizontal="left"/>
    </xf>
    <xf numFmtId="164" fontId="20" fillId="0" borderId="6" xfId="0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4" fontId="21" fillId="0" borderId="5" xfId="0" applyFont="1" applyBorder="1" applyAlignment="1">
      <alignment horizontal="left"/>
    </xf>
    <xf numFmtId="164" fontId="4" fillId="0" borderId="5" xfId="0" applyFont="1" applyBorder="1" applyAlignment="1">
      <alignment horizontal="center"/>
    </xf>
    <xf numFmtId="164" fontId="19" fillId="3" borderId="27" xfId="0" applyFont="1" applyFill="1" applyBorder="1" applyAlignment="1" applyProtection="1">
      <alignment horizontal="center"/>
      <protection locked="0"/>
    </xf>
    <xf numFmtId="164" fontId="19" fillId="3" borderId="8" xfId="0" applyFont="1" applyFill="1" applyBorder="1" applyAlignment="1" applyProtection="1">
      <alignment horizontal="center"/>
      <protection locked="0"/>
    </xf>
    <xf numFmtId="164" fontId="20" fillId="3" borderId="27" xfId="0" applyFont="1" applyFill="1" applyBorder="1" applyAlignment="1" applyProtection="1">
      <alignment horizontal="center"/>
      <protection locked="0"/>
    </xf>
    <xf numFmtId="164" fontId="20" fillId="3" borderId="8" xfId="0" applyFont="1" applyFill="1" applyBorder="1" applyAlignment="1" applyProtection="1">
      <alignment horizontal="center"/>
      <protection locked="0"/>
    </xf>
    <xf numFmtId="164" fontId="4" fillId="0" borderId="5" xfId="0" applyFont="1" applyBorder="1" applyAlignment="1">
      <alignment horizontal="right"/>
    </xf>
    <xf numFmtId="164" fontId="4" fillId="0" borderId="5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5" fillId="0" borderId="6" xfId="0" applyFont="1" applyBorder="1" applyAlignment="1">
      <alignment/>
    </xf>
    <xf numFmtId="165" fontId="21" fillId="0" borderId="6" xfId="0" applyNumberFormat="1" applyFont="1" applyBorder="1" applyAlignment="1">
      <alignment horizontal="center"/>
    </xf>
    <xf numFmtId="164" fontId="18" fillId="0" borderId="29" xfId="0" applyFont="1" applyFill="1" applyBorder="1" applyAlignment="1">
      <alignment/>
    </xf>
    <xf numFmtId="164" fontId="19" fillId="0" borderId="42" xfId="0" applyFont="1" applyBorder="1" applyAlignment="1">
      <alignment/>
    </xf>
    <xf numFmtId="164" fontId="4" fillId="0" borderId="52" xfId="0" applyFont="1" applyBorder="1" applyAlignment="1">
      <alignment horizontal="left"/>
    </xf>
    <xf numFmtId="164" fontId="4" fillId="0" borderId="53" xfId="0" applyFont="1" applyBorder="1" applyAlignment="1">
      <alignment/>
    </xf>
    <xf numFmtId="164" fontId="4" fillId="0" borderId="54" xfId="0" applyFont="1" applyBorder="1" applyAlignment="1">
      <alignment/>
    </xf>
    <xf numFmtId="164" fontId="4" fillId="0" borderId="55" xfId="0" applyFont="1" applyBorder="1" applyAlignment="1">
      <alignment horizontal="center"/>
    </xf>
    <xf numFmtId="165" fontId="4" fillId="0" borderId="55" xfId="0" applyNumberFormat="1" applyFont="1" applyBorder="1" applyAlignment="1">
      <alignment horizontal="center"/>
    </xf>
    <xf numFmtId="166" fontId="4" fillId="0" borderId="55" xfId="0" applyNumberFormat="1" applyFont="1" applyBorder="1" applyAlignment="1">
      <alignment horizontal="center"/>
    </xf>
    <xf numFmtId="167" fontId="5" fillId="0" borderId="56" xfId="0" applyNumberFormat="1" applyFont="1" applyBorder="1" applyAlignment="1">
      <alignment horizontal="center"/>
    </xf>
    <xf numFmtId="164" fontId="21" fillId="0" borderId="52" xfId="0" applyFont="1" applyBorder="1" applyAlignment="1">
      <alignment/>
    </xf>
    <xf numFmtId="164" fontId="21" fillId="0" borderId="53" xfId="0" applyFont="1" applyBorder="1" applyAlignment="1">
      <alignment/>
    </xf>
    <xf numFmtId="164" fontId="21" fillId="0" borderId="54" xfId="0" applyFont="1" applyBorder="1" applyAlignment="1">
      <alignment/>
    </xf>
    <xf numFmtId="164" fontId="21" fillId="3" borderId="55" xfId="0" applyFont="1" applyFill="1" applyBorder="1" applyAlignment="1" applyProtection="1">
      <alignment horizontal="center"/>
      <protection locked="0"/>
    </xf>
    <xf numFmtId="164" fontId="21" fillId="0" borderId="55" xfId="0" applyFont="1" applyBorder="1" applyAlignment="1">
      <alignment horizontal="center"/>
    </xf>
    <xf numFmtId="164" fontId="21" fillId="0" borderId="56" xfId="0" applyNumberFormat="1" applyFont="1" applyBorder="1" applyAlignment="1">
      <alignment horizontal="center"/>
    </xf>
    <xf numFmtId="164" fontId="18" fillId="0" borderId="57" xfId="0" applyFont="1" applyFill="1" applyBorder="1" applyAlignment="1">
      <alignment/>
    </xf>
    <xf numFmtId="164" fontId="4" fillId="0" borderId="45" xfId="0" applyFont="1" applyBorder="1" applyAlignment="1">
      <alignment horizontal="left"/>
    </xf>
    <xf numFmtId="164" fontId="4" fillId="0" borderId="58" xfId="0" applyFont="1" applyBorder="1" applyAlignment="1">
      <alignment horizontal="center"/>
    </xf>
    <xf numFmtId="164" fontId="4" fillId="0" borderId="59" xfId="0" applyFont="1" applyBorder="1" applyAlignment="1">
      <alignment horizontal="center"/>
    </xf>
    <xf numFmtId="164" fontId="4" fillId="0" borderId="60" xfId="0" applyFont="1" applyBorder="1" applyAlignment="1">
      <alignment horizontal="center"/>
    </xf>
    <xf numFmtId="166" fontId="4" fillId="0" borderId="60" xfId="0" applyNumberFormat="1" applyFont="1" applyBorder="1" applyAlignment="1">
      <alignment horizontal="center"/>
    </xf>
    <xf numFmtId="167" fontId="5" fillId="0" borderId="61" xfId="0" applyNumberFormat="1" applyFont="1" applyBorder="1" applyAlignment="1">
      <alignment horizontal="center"/>
    </xf>
    <xf numFmtId="164" fontId="21" fillId="0" borderId="45" xfId="0" applyFont="1" applyBorder="1" applyAlignment="1">
      <alignment/>
    </xf>
    <xf numFmtId="164" fontId="21" fillId="0" borderId="58" xfId="0" applyFont="1" applyBorder="1" applyAlignment="1">
      <alignment/>
    </xf>
    <xf numFmtId="164" fontId="21" fillId="0" borderId="59" xfId="0" applyFont="1" applyBorder="1" applyAlignment="1">
      <alignment/>
    </xf>
    <xf numFmtId="164" fontId="21" fillId="3" borderId="60" xfId="0" applyFont="1" applyFill="1" applyBorder="1" applyAlignment="1" applyProtection="1">
      <alignment horizontal="center"/>
      <protection locked="0"/>
    </xf>
    <xf numFmtId="164" fontId="21" fillId="0" borderId="60" xfId="0" applyFont="1" applyBorder="1" applyAlignment="1">
      <alignment horizontal="center"/>
    </xf>
    <xf numFmtId="164" fontId="21" fillId="0" borderId="61" xfId="0" applyNumberFormat="1" applyFont="1" applyBorder="1" applyAlignment="1">
      <alignment horizontal="center"/>
    </xf>
    <xf numFmtId="164" fontId="4" fillId="0" borderId="53" xfId="0" applyFont="1" applyBorder="1" applyAlignment="1">
      <alignment horizontal="center"/>
    </xf>
    <xf numFmtId="164" fontId="4" fillId="0" borderId="54" xfId="0" applyFont="1" applyBorder="1" applyAlignment="1">
      <alignment horizontal="center"/>
    </xf>
    <xf numFmtId="164" fontId="4" fillId="0" borderId="62" xfId="0" applyFont="1" applyBorder="1" applyAlignment="1">
      <alignment horizontal="left"/>
    </xf>
    <xf numFmtId="164" fontId="4" fillId="0" borderId="63" xfId="0" applyFont="1" applyBorder="1" applyAlignment="1">
      <alignment horizontal="center"/>
    </xf>
    <xf numFmtId="164" fontId="4" fillId="0" borderId="64" xfId="0" applyFont="1" applyBorder="1" applyAlignment="1">
      <alignment horizontal="center"/>
    </xf>
    <xf numFmtId="164" fontId="4" fillId="0" borderId="65" xfId="0" applyFont="1" applyBorder="1" applyAlignment="1">
      <alignment horizontal="center"/>
    </xf>
    <xf numFmtId="166" fontId="4" fillId="0" borderId="65" xfId="0" applyNumberFormat="1" applyFont="1" applyBorder="1" applyAlignment="1">
      <alignment horizontal="center"/>
    </xf>
    <xf numFmtId="167" fontId="5" fillId="0" borderId="66" xfId="0" applyNumberFormat="1" applyFont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5" borderId="3" xfId="0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67" fontId="5" fillId="5" borderId="4" xfId="0" applyNumberFormat="1" applyFont="1" applyFill="1" applyBorder="1" applyAlignment="1">
      <alignment horizontal="center"/>
    </xf>
    <xf numFmtId="164" fontId="21" fillId="0" borderId="62" xfId="0" applyFont="1" applyBorder="1" applyAlignment="1">
      <alignment/>
    </xf>
    <xf numFmtId="164" fontId="21" fillId="0" borderId="63" xfId="0" applyFont="1" applyBorder="1" applyAlignment="1">
      <alignment/>
    </xf>
    <xf numFmtId="164" fontId="21" fillId="0" borderId="64" xfId="0" applyFont="1" applyBorder="1" applyAlignment="1">
      <alignment/>
    </xf>
    <xf numFmtId="164" fontId="21" fillId="3" borderId="65" xfId="0" applyFont="1" applyFill="1" applyBorder="1" applyAlignment="1" applyProtection="1">
      <alignment horizontal="center"/>
      <protection locked="0"/>
    </xf>
    <xf numFmtId="164" fontId="21" fillId="0" borderId="65" xfId="0" applyFont="1" applyBorder="1" applyAlignment="1">
      <alignment horizontal="center"/>
    </xf>
    <xf numFmtId="164" fontId="21" fillId="0" borderId="66" xfId="0" applyNumberFormat="1" applyFont="1" applyBorder="1" applyAlignment="1">
      <alignment horizontal="center"/>
    </xf>
    <xf numFmtId="164" fontId="4" fillId="0" borderId="62" xfId="0" applyFont="1" applyBorder="1" applyAlignment="1">
      <alignment horizontal="center"/>
    </xf>
    <xf numFmtId="164" fontId="0" fillId="0" borderId="63" xfId="0" applyBorder="1" applyAlignment="1">
      <alignment/>
    </xf>
    <xf numFmtId="164" fontId="21" fillId="0" borderId="65" xfId="0" applyFont="1" applyFill="1" applyBorder="1" applyAlignment="1">
      <alignment horizontal="center"/>
    </xf>
    <xf numFmtId="164" fontId="21" fillId="3" borderId="25" xfId="0" applyFont="1" applyFill="1" applyBorder="1" applyAlignment="1" applyProtection="1">
      <alignment/>
      <protection locked="0"/>
    </xf>
    <xf numFmtId="164" fontId="21" fillId="3" borderId="67" xfId="0" applyFont="1" applyFill="1" applyBorder="1" applyAlignment="1" applyProtection="1">
      <alignment horizontal="center"/>
      <protection locked="0"/>
    </xf>
    <xf numFmtId="164" fontId="21" fillId="3" borderId="26" xfId="0" applyFont="1" applyFill="1" applyBorder="1" applyAlignment="1" applyProtection="1">
      <alignment horizontal="center"/>
      <protection locked="0"/>
    </xf>
    <xf numFmtId="164" fontId="13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5" fillId="0" borderId="0" xfId="0" applyFont="1" applyBorder="1" applyAlignment="1">
      <alignment/>
    </xf>
    <xf numFmtId="165" fontId="15" fillId="0" borderId="0" xfId="0" applyNumberFormat="1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3" fillId="0" borderId="42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5" fontId="9" fillId="0" borderId="3" xfId="0" applyNumberFormat="1" applyFont="1" applyBorder="1" applyAlignment="1">
      <alignment/>
    </xf>
    <xf numFmtId="164" fontId="9" fillId="0" borderId="3" xfId="0" applyFont="1" applyBorder="1" applyAlignment="1">
      <alignment horizontal="center"/>
    </xf>
    <xf numFmtId="164" fontId="7" fillId="0" borderId="2" xfId="0" applyFont="1" applyBorder="1" applyAlignment="1">
      <alignment horizontal="left"/>
    </xf>
    <xf numFmtId="166" fontId="13" fillId="0" borderId="20" xfId="0" applyNumberFormat="1" applyFont="1" applyBorder="1" applyAlignment="1">
      <alignment horizontal="center"/>
    </xf>
    <xf numFmtId="167" fontId="23" fillId="0" borderId="20" xfId="0" applyNumberFormat="1" applyFont="1" applyBorder="1" applyAlignment="1">
      <alignment horizontal="center"/>
    </xf>
    <xf numFmtId="164" fontId="13" fillId="0" borderId="20" xfId="0" applyFont="1" applyBorder="1" applyAlignment="1">
      <alignment/>
    </xf>
    <xf numFmtId="164" fontId="13" fillId="0" borderId="41" xfId="0" applyFont="1" applyBorder="1" applyAlignment="1">
      <alignment/>
    </xf>
    <xf numFmtId="164" fontId="15" fillId="4" borderId="41" xfId="0" applyFont="1" applyFill="1" applyBorder="1" applyAlignment="1">
      <alignment/>
    </xf>
    <xf numFmtId="164" fontId="4" fillId="0" borderId="68" xfId="0" applyFont="1" applyBorder="1" applyAlignment="1">
      <alignment horizontal="center"/>
    </xf>
    <xf numFmtId="164" fontId="4" fillId="0" borderId="69" xfId="0" applyFont="1" applyBorder="1" applyAlignment="1">
      <alignment horizontal="center"/>
    </xf>
    <xf numFmtId="164" fontId="4" fillId="0" borderId="70" xfId="0" applyFont="1" applyBorder="1" applyAlignment="1">
      <alignment horizontal="center"/>
    </xf>
    <xf numFmtId="164" fontId="0" fillId="0" borderId="69" xfId="0" applyBorder="1" applyAlignment="1">
      <alignment/>
    </xf>
    <xf numFmtId="164" fontId="17" fillId="0" borderId="57" xfId="0" applyFont="1" applyFill="1" applyBorder="1" applyAlignment="1">
      <alignment horizontal="center"/>
    </xf>
    <xf numFmtId="164" fontId="21" fillId="0" borderId="42" xfId="0" applyFont="1" applyFill="1" applyBorder="1" applyAlignment="1">
      <alignment/>
    </xf>
    <xf numFmtId="164" fontId="20" fillId="0" borderId="5" xfId="0" applyFont="1" applyBorder="1" applyAlignment="1">
      <alignment/>
    </xf>
    <xf numFmtId="165" fontId="4" fillId="0" borderId="45" xfId="0" applyNumberFormat="1" applyFont="1" applyBorder="1" applyAlignment="1">
      <alignment/>
    </xf>
    <xf numFmtId="166" fontId="21" fillId="0" borderId="58" xfId="0" applyNumberFormat="1" applyFont="1" applyBorder="1" applyAlignment="1">
      <alignment horizontal="center"/>
    </xf>
    <xf numFmtId="164" fontId="4" fillId="0" borderId="46" xfId="0" applyFont="1" applyBorder="1" applyAlignment="1">
      <alignment horizontal="center"/>
    </xf>
    <xf numFmtId="164" fontId="4" fillId="0" borderId="45" xfId="0" applyFont="1" applyBorder="1" applyAlignment="1">
      <alignment/>
    </xf>
    <xf numFmtId="164" fontId="4" fillId="0" borderId="58" xfId="0" applyFont="1" applyBorder="1" applyAlignment="1">
      <alignment/>
    </xf>
    <xf numFmtId="165" fontId="4" fillId="0" borderId="62" xfId="0" applyNumberFormat="1" applyFont="1" applyBorder="1" applyAlignment="1">
      <alignment/>
    </xf>
    <xf numFmtId="165" fontId="13" fillId="0" borderId="63" xfId="0" applyNumberFormat="1" applyFont="1" applyFill="1" applyBorder="1" applyAlignment="1">
      <alignment/>
    </xf>
    <xf numFmtId="166" fontId="4" fillId="0" borderId="63" xfId="0" applyNumberFormat="1" applyFont="1" applyBorder="1" applyAlignment="1">
      <alignment horizontal="center"/>
    </xf>
    <xf numFmtId="164" fontId="4" fillId="0" borderId="71" xfId="0" applyFont="1" applyBorder="1" applyAlignment="1">
      <alignment horizontal="center"/>
    </xf>
    <xf numFmtId="164" fontId="4" fillId="0" borderId="62" xfId="0" applyFont="1" applyBorder="1" applyAlignment="1">
      <alignment/>
    </xf>
    <xf numFmtId="164" fontId="21" fillId="0" borderId="43" xfId="0" applyFont="1" applyBorder="1" applyAlignment="1">
      <alignment horizontal="center"/>
    </xf>
    <xf numFmtId="165" fontId="20" fillId="3" borderId="27" xfId="0" applyNumberFormat="1" applyFont="1" applyFill="1" applyBorder="1" applyAlignment="1" applyProtection="1">
      <alignment horizontal="center"/>
      <protection locked="0"/>
    </xf>
    <xf numFmtId="165" fontId="20" fillId="3" borderId="8" xfId="0" applyNumberFormat="1" applyFont="1" applyFill="1" applyBorder="1" applyAlignment="1" applyProtection="1">
      <alignment horizontal="center"/>
      <protection locked="0"/>
    </xf>
    <xf numFmtId="164" fontId="4" fillId="0" borderId="43" xfId="0" applyFont="1" applyFill="1" applyBorder="1" applyAlignment="1">
      <alignment horizontal="center"/>
    </xf>
    <xf numFmtId="164" fontId="5" fillId="0" borderId="72" xfId="0" applyFont="1" applyBorder="1" applyAlignment="1">
      <alignment horizontal="left"/>
    </xf>
    <xf numFmtId="164" fontId="21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18" fillId="4" borderId="73" xfId="0" applyFont="1" applyFill="1" applyBorder="1" applyAlignment="1">
      <alignment/>
    </xf>
    <xf numFmtId="164" fontId="4" fillId="0" borderId="6" xfId="0" applyFont="1" applyBorder="1" applyAlignment="1">
      <alignment horizontal="left"/>
    </xf>
    <xf numFmtId="164" fontId="4" fillId="0" borderId="7" xfId="0" applyFont="1" applyBorder="1" applyAlignment="1">
      <alignment/>
    </xf>
    <xf numFmtId="164" fontId="4" fillId="0" borderId="43" xfId="0" applyFont="1" applyBorder="1" applyAlignment="1">
      <alignment horizontal="left"/>
    </xf>
    <xf numFmtId="164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21" fillId="4" borderId="74" xfId="0" applyFont="1" applyFill="1" applyBorder="1" applyAlignment="1">
      <alignment/>
    </xf>
    <xf numFmtId="164" fontId="5" fillId="0" borderId="43" xfId="0" applyFont="1" applyBorder="1" applyAlignment="1">
      <alignment horizontal="center"/>
    </xf>
    <xf numFmtId="165" fontId="4" fillId="0" borderId="6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right"/>
    </xf>
    <xf numFmtId="164" fontId="4" fillId="0" borderId="7" xfId="0" applyFont="1" applyBorder="1" applyAlignment="1">
      <alignment/>
    </xf>
    <xf numFmtId="165" fontId="4" fillId="0" borderId="4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21" fillId="3" borderId="8" xfId="0" applyFont="1" applyFill="1" applyBorder="1" applyAlignment="1" applyProtection="1">
      <alignment/>
      <protection locked="0"/>
    </xf>
    <xf numFmtId="164" fontId="21" fillId="0" borderId="6" xfId="0" applyFont="1" applyFill="1" applyBorder="1" applyAlignment="1">
      <alignment/>
    </xf>
    <xf numFmtId="164" fontId="4" fillId="0" borderId="8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7" xfId="0" applyFont="1" applyFill="1" applyBorder="1" applyAlignment="1">
      <alignment/>
    </xf>
    <xf numFmtId="168" fontId="4" fillId="0" borderId="43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5" fontId="4" fillId="0" borderId="75" xfId="0" applyNumberFormat="1" applyFont="1" applyBorder="1" applyAlignment="1">
      <alignment horizontal="center"/>
    </xf>
    <xf numFmtId="164" fontId="4" fillId="0" borderId="76" xfId="0" applyFont="1" applyBorder="1" applyAlignment="1">
      <alignment horizontal="center"/>
    </xf>
    <xf numFmtId="165" fontId="4" fillId="0" borderId="77" xfId="0" applyNumberFormat="1" applyFont="1" applyBorder="1" applyAlignment="1">
      <alignment horizontal="left"/>
    </xf>
    <xf numFmtId="164" fontId="4" fillId="0" borderId="25" xfId="0" applyFont="1" applyBorder="1" applyAlignment="1">
      <alignment/>
    </xf>
    <xf numFmtId="165" fontId="4" fillId="0" borderId="78" xfId="0" applyNumberFormat="1" applyFont="1" applyBorder="1" applyAlignment="1">
      <alignment horizontal="center"/>
    </xf>
    <xf numFmtId="164" fontId="4" fillId="0" borderId="79" xfId="0" applyFont="1" applyBorder="1" applyAlignment="1">
      <alignment/>
    </xf>
    <xf numFmtId="165" fontId="4" fillId="0" borderId="80" xfId="0" applyNumberFormat="1" applyFont="1" applyBorder="1" applyAlignment="1">
      <alignment horizontal="center"/>
    </xf>
    <xf numFmtId="165" fontId="4" fillId="0" borderId="81" xfId="0" applyNumberFormat="1" applyFont="1" applyBorder="1" applyAlignment="1">
      <alignment horizontal="left"/>
    </xf>
    <xf numFmtId="165" fontId="4" fillId="0" borderId="81" xfId="0" applyNumberFormat="1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22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68" xfId="0" applyFont="1" applyFill="1" applyBorder="1" applyAlignment="1">
      <alignment/>
    </xf>
    <xf numFmtId="164" fontId="0" fillId="0" borderId="69" xfId="0" applyFill="1" applyBorder="1" applyAlignment="1">
      <alignment/>
    </xf>
    <xf numFmtId="165" fontId="4" fillId="0" borderId="82" xfId="0" applyNumberFormat="1" applyFont="1" applyFill="1" applyBorder="1" applyAlignment="1">
      <alignment horizontal="center"/>
    </xf>
    <xf numFmtId="164" fontId="4" fillId="0" borderId="45" xfId="0" applyFont="1" applyFill="1" applyBorder="1" applyAlignment="1">
      <alignment horizontal="left"/>
    </xf>
    <xf numFmtId="164" fontId="4" fillId="0" borderId="58" xfId="0" applyFont="1" applyFill="1" applyBorder="1" applyAlignment="1">
      <alignment horizontal="left"/>
    </xf>
    <xf numFmtId="164" fontId="4" fillId="0" borderId="61" xfId="0" applyFont="1" applyFill="1" applyBorder="1" applyAlignment="1">
      <alignment horizontal="center"/>
    </xf>
    <xf numFmtId="165" fontId="4" fillId="0" borderId="61" xfId="0" applyNumberFormat="1" applyFont="1" applyFill="1" applyBorder="1" applyAlignment="1">
      <alignment horizontal="center"/>
    </xf>
    <xf numFmtId="164" fontId="4" fillId="0" borderId="58" xfId="0" applyFont="1" applyFill="1" applyBorder="1" applyAlignment="1">
      <alignment horizontal="center"/>
    </xf>
    <xf numFmtId="164" fontId="4" fillId="0" borderId="58" xfId="0" applyFont="1" applyFill="1" applyBorder="1" applyAlignment="1">
      <alignment/>
    </xf>
    <xf numFmtId="164" fontId="21" fillId="0" borderId="25" xfId="0" applyFont="1" applyBorder="1" applyAlignment="1">
      <alignment/>
    </xf>
    <xf numFmtId="164" fontId="21" fillId="0" borderId="81" xfId="0" applyFont="1" applyBorder="1" applyAlignment="1">
      <alignment/>
    </xf>
    <xf numFmtId="164" fontId="21" fillId="0" borderId="28" xfId="0" applyFont="1" applyBorder="1" applyAlignment="1">
      <alignment horizontal="center"/>
    </xf>
    <xf numFmtId="164" fontId="21" fillId="0" borderId="67" xfId="0" applyFont="1" applyBorder="1" applyAlignment="1">
      <alignment horizontal="center"/>
    </xf>
    <xf numFmtId="164" fontId="21" fillId="0" borderId="83" xfId="0" applyNumberFormat="1" applyFont="1" applyBorder="1" applyAlignment="1">
      <alignment horizontal="center"/>
    </xf>
    <xf numFmtId="164" fontId="4" fillId="0" borderId="45" xfId="0" applyFont="1" applyFill="1" applyBorder="1" applyAlignment="1">
      <alignment horizontal="left"/>
    </xf>
    <xf numFmtId="164" fontId="24" fillId="0" borderId="58" xfId="0" applyFont="1" applyFill="1" applyBorder="1" applyAlignment="1">
      <alignment horizontal="right"/>
    </xf>
    <xf numFmtId="164" fontId="4" fillId="0" borderId="59" xfId="0" applyFont="1" applyFill="1" applyBorder="1" applyAlignment="1">
      <alignment horizontal="left"/>
    </xf>
    <xf numFmtId="165" fontId="4" fillId="3" borderId="61" xfId="0" applyNumberFormat="1" applyFont="1" applyFill="1" applyBorder="1" applyAlignment="1" applyProtection="1">
      <alignment horizontal="center"/>
      <protection locked="0"/>
    </xf>
    <xf numFmtId="164" fontId="4" fillId="5" borderId="45" xfId="0" applyFont="1" applyFill="1" applyBorder="1" applyAlignment="1">
      <alignment horizontal="left"/>
    </xf>
    <xf numFmtId="164" fontId="4" fillId="5" borderId="58" xfId="0" applyFont="1" applyFill="1" applyBorder="1" applyAlignment="1">
      <alignment horizontal="left"/>
    </xf>
    <xf numFmtId="164" fontId="4" fillId="5" borderId="46" xfId="0" applyFont="1" applyFill="1" applyBorder="1" applyAlignment="1">
      <alignment horizontal="center"/>
    </xf>
    <xf numFmtId="164" fontId="4" fillId="0" borderId="84" xfId="0" applyFont="1" applyBorder="1" applyAlignment="1">
      <alignment/>
    </xf>
    <xf numFmtId="164" fontId="4" fillId="0" borderId="85" xfId="0" applyFont="1" applyBorder="1" applyAlignment="1">
      <alignment/>
    </xf>
    <xf numFmtId="164" fontId="4" fillId="0" borderId="86" xfId="0" applyFont="1" applyFill="1" applyBorder="1" applyAlignment="1">
      <alignment horizontal="center"/>
    </xf>
    <xf numFmtId="164" fontId="4" fillId="0" borderId="87" xfId="0" applyFont="1" applyFill="1" applyBorder="1" applyAlignment="1">
      <alignment horizontal="center"/>
    </xf>
    <xf numFmtId="164" fontId="4" fillId="0" borderId="88" xfId="0" applyFont="1" applyFill="1" applyBorder="1" applyAlignment="1">
      <alignment/>
    </xf>
    <xf numFmtId="164" fontId="4" fillId="0" borderId="89" xfId="0" applyFont="1" applyFill="1" applyBorder="1" applyAlignment="1">
      <alignment horizontal="left"/>
    </xf>
    <xf numFmtId="164" fontId="4" fillId="0" borderId="86" xfId="0" applyFont="1" applyBorder="1" applyAlignment="1">
      <alignment horizontal="center"/>
    </xf>
    <xf numFmtId="165" fontId="4" fillId="0" borderId="87" xfId="0" applyNumberFormat="1" applyFont="1" applyFill="1" applyBorder="1" applyAlignment="1">
      <alignment horizontal="center"/>
    </xf>
    <xf numFmtId="164" fontId="4" fillId="0" borderId="90" xfId="0" applyFont="1" applyBorder="1" applyAlignment="1">
      <alignment/>
    </xf>
    <xf numFmtId="164" fontId="4" fillId="0" borderId="91" xfId="0" applyFont="1" applyBorder="1" applyAlignment="1">
      <alignment/>
    </xf>
    <xf numFmtId="164" fontId="4" fillId="0" borderId="92" xfId="0" applyFont="1" applyBorder="1" applyAlignment="1">
      <alignment/>
    </xf>
    <xf numFmtId="165" fontId="4" fillId="0" borderId="93" xfId="0" applyNumberFormat="1" applyFont="1" applyBorder="1" applyAlignment="1">
      <alignment horizontal="center"/>
    </xf>
    <xf numFmtId="164" fontId="4" fillId="0" borderId="94" xfId="0" applyFont="1" applyFill="1" applyBorder="1" applyAlignment="1">
      <alignment/>
    </xf>
    <xf numFmtId="164" fontId="4" fillId="0" borderId="95" xfId="0" applyFont="1" applyFill="1" applyBorder="1" applyAlignment="1">
      <alignment horizontal="left"/>
    </xf>
    <xf numFmtId="164" fontId="4" fillId="0" borderId="96" xfId="0" applyFont="1" applyFill="1" applyBorder="1" applyAlignment="1">
      <alignment horizontal="center"/>
    </xf>
    <xf numFmtId="164" fontId="4" fillId="0" borderId="97" xfId="0" applyFont="1" applyFill="1" applyBorder="1" applyAlignment="1">
      <alignment/>
    </xf>
    <xf numFmtId="164" fontId="4" fillId="0" borderId="94" xfId="0" applyFont="1" applyBorder="1" applyAlignment="1">
      <alignment/>
    </xf>
    <xf numFmtId="164" fontId="4" fillId="0" borderId="95" xfId="0" applyFont="1" applyBorder="1" applyAlignment="1">
      <alignment/>
    </xf>
    <xf numFmtId="165" fontId="4" fillId="0" borderId="98" xfId="0" applyNumberFormat="1" applyFont="1" applyBorder="1" applyAlignment="1">
      <alignment horizontal="center"/>
    </xf>
    <xf numFmtId="165" fontId="4" fillId="0" borderId="96" xfId="0" applyNumberFormat="1" applyFont="1" applyFill="1" applyBorder="1" applyAlignment="1">
      <alignment horizontal="center"/>
    </xf>
    <xf numFmtId="164" fontId="4" fillId="0" borderId="45" xfId="0" applyFont="1" applyFill="1" applyBorder="1" applyAlignment="1">
      <alignment/>
    </xf>
    <xf numFmtId="164" fontId="4" fillId="0" borderId="58" xfId="0" applyFont="1" applyFill="1" applyBorder="1" applyAlignment="1">
      <alignment/>
    </xf>
    <xf numFmtId="164" fontId="4" fillId="0" borderId="99" xfId="0" applyFont="1" applyFill="1" applyBorder="1" applyAlignment="1">
      <alignment/>
    </xf>
    <xf numFmtId="165" fontId="4" fillId="0" borderId="59" xfId="0" applyNumberFormat="1" applyFont="1" applyFill="1" applyBorder="1" applyAlignment="1">
      <alignment horizontal="center"/>
    </xf>
    <xf numFmtId="164" fontId="4" fillId="0" borderId="100" xfId="0" applyFont="1" applyBorder="1" applyAlignment="1">
      <alignment horizontal="center"/>
    </xf>
    <xf numFmtId="164" fontId="4" fillId="0" borderId="99" xfId="0" applyFont="1" applyFill="1" applyBorder="1" applyAlignment="1">
      <alignment/>
    </xf>
    <xf numFmtId="164" fontId="4" fillId="0" borderId="58" xfId="0" applyFont="1" applyFill="1" applyBorder="1" applyAlignment="1">
      <alignment horizontal="left"/>
    </xf>
    <xf numFmtId="164" fontId="4" fillId="0" borderId="101" xfId="0" applyFont="1" applyFill="1" applyBorder="1" applyAlignment="1">
      <alignment/>
    </xf>
    <xf numFmtId="164" fontId="4" fillId="0" borderId="102" xfId="0" applyFont="1" applyFill="1" applyBorder="1" applyAlignment="1">
      <alignment/>
    </xf>
    <xf numFmtId="164" fontId="4" fillId="0" borderId="103" xfId="0" applyFont="1" applyFill="1" applyBorder="1" applyAlignment="1">
      <alignment/>
    </xf>
    <xf numFmtId="165" fontId="4" fillId="0" borderId="104" xfId="0" applyNumberFormat="1" applyFont="1" applyFill="1" applyBorder="1" applyAlignment="1">
      <alignment horizontal="center"/>
    </xf>
    <xf numFmtId="164" fontId="4" fillId="0" borderId="105" xfId="0" applyFont="1" applyBorder="1" applyAlignment="1">
      <alignment horizontal="center"/>
    </xf>
    <xf numFmtId="164" fontId="4" fillId="0" borderId="103" xfId="0" applyFont="1" applyFill="1" applyBorder="1" applyAlignment="1">
      <alignment/>
    </xf>
    <xf numFmtId="164" fontId="4" fillId="0" borderId="102" xfId="0" applyFont="1" applyFill="1" applyBorder="1" applyAlignment="1">
      <alignment horizontal="left"/>
    </xf>
    <xf numFmtId="164" fontId="4" fillId="5" borderId="106" xfId="0" applyFont="1" applyFill="1" applyBorder="1" applyAlignment="1">
      <alignment/>
    </xf>
    <xf numFmtId="164" fontId="4" fillId="5" borderId="107" xfId="0" applyFont="1" applyFill="1" applyBorder="1" applyAlignment="1">
      <alignment/>
    </xf>
    <xf numFmtId="165" fontId="4" fillId="5" borderId="107" xfId="0" applyNumberFormat="1" applyFont="1" applyFill="1" applyBorder="1" applyAlignment="1">
      <alignment horizontal="center"/>
    </xf>
    <xf numFmtId="164" fontId="4" fillId="5" borderId="107" xfId="0" applyFont="1" applyFill="1" applyBorder="1" applyAlignment="1">
      <alignment/>
    </xf>
    <xf numFmtId="164" fontId="4" fillId="5" borderId="107" xfId="0" applyFont="1" applyFill="1" applyBorder="1" applyAlignment="1">
      <alignment horizontal="left"/>
    </xf>
    <xf numFmtId="165" fontId="4" fillId="5" borderId="108" xfId="0" applyNumberFormat="1" applyFont="1" applyFill="1" applyBorder="1" applyAlignment="1">
      <alignment horizontal="center"/>
    </xf>
    <xf numFmtId="164" fontId="4" fillId="5" borderId="109" xfId="0" applyFont="1" applyFill="1" applyBorder="1" applyAlignment="1">
      <alignment/>
    </xf>
    <xf numFmtId="164" fontId="4" fillId="5" borderId="110" xfId="0" applyFont="1" applyFill="1" applyBorder="1" applyAlignment="1">
      <alignment/>
    </xf>
    <xf numFmtId="165" fontId="4" fillId="5" borderId="110" xfId="0" applyNumberFormat="1" applyFont="1" applyFill="1" applyBorder="1" applyAlignment="1">
      <alignment horizontal="center"/>
    </xf>
    <xf numFmtId="164" fontId="4" fillId="5" borderId="110" xfId="0" applyFont="1" applyFill="1" applyBorder="1" applyAlignment="1">
      <alignment horizontal="center"/>
    </xf>
    <xf numFmtId="164" fontId="4" fillId="5" borderId="110" xfId="0" applyFont="1" applyFill="1" applyBorder="1" applyAlignment="1">
      <alignment/>
    </xf>
    <xf numFmtId="164" fontId="4" fillId="5" borderId="110" xfId="0" applyFont="1" applyFill="1" applyBorder="1" applyAlignment="1">
      <alignment horizontal="left"/>
    </xf>
    <xf numFmtId="165" fontId="4" fillId="5" borderId="111" xfId="0" applyNumberFormat="1" applyFont="1" applyFill="1" applyBorder="1" applyAlignment="1">
      <alignment horizontal="center"/>
    </xf>
    <xf numFmtId="164" fontId="17" fillId="0" borderId="112" xfId="0" applyFont="1" applyFill="1" applyBorder="1" applyAlignment="1">
      <alignment horizontal="left"/>
    </xf>
    <xf numFmtId="164" fontId="15" fillId="0" borderId="20" xfId="0" applyFont="1" applyBorder="1" applyAlignment="1">
      <alignment/>
    </xf>
    <xf numFmtId="164" fontId="18" fillId="0" borderId="20" xfId="0" applyFont="1" applyFill="1" applyBorder="1" applyAlignment="1">
      <alignment/>
    </xf>
    <xf numFmtId="164" fontId="22" fillId="0" borderId="22" xfId="0" applyFont="1" applyFill="1" applyBorder="1" applyAlignment="1">
      <alignment/>
    </xf>
    <xf numFmtId="164" fontId="18" fillId="0" borderId="41" xfId="0" applyFont="1" applyFill="1" applyBorder="1" applyAlignment="1">
      <alignment/>
    </xf>
    <xf numFmtId="164" fontId="22" fillId="0" borderId="2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center"/>
    </xf>
    <xf numFmtId="164" fontId="4" fillId="0" borderId="37" xfId="0" applyFont="1" applyFill="1" applyBorder="1" applyAlignment="1">
      <alignment/>
    </xf>
    <xf numFmtId="164" fontId="22" fillId="0" borderId="3" xfId="0" applyFont="1" applyFill="1" applyBorder="1" applyAlignment="1">
      <alignment horizontal="right"/>
    </xf>
    <xf numFmtId="164" fontId="22" fillId="3" borderId="40" xfId="0" applyFont="1" applyFill="1" applyBorder="1" applyAlignment="1" applyProtection="1">
      <alignment horizontal="center"/>
      <protection locked="0"/>
    </xf>
    <xf numFmtId="164" fontId="22" fillId="0" borderId="3" xfId="0" applyFont="1" applyFill="1" applyBorder="1" applyAlignment="1">
      <alignment horizontal="center"/>
    </xf>
    <xf numFmtId="164" fontId="4" fillId="3" borderId="4" xfId="0" applyFont="1" applyFill="1" applyBorder="1" applyAlignment="1" applyProtection="1">
      <alignment horizontal="center"/>
      <protection locked="0"/>
    </xf>
    <xf numFmtId="164" fontId="21" fillId="0" borderId="69" xfId="0" applyFont="1" applyFill="1" applyBorder="1" applyAlignment="1">
      <alignment horizontal="center"/>
    </xf>
    <xf numFmtId="164" fontId="4" fillId="0" borderId="69" xfId="0" applyFont="1" applyFill="1" applyBorder="1" applyAlignment="1">
      <alignment horizontal="center"/>
    </xf>
    <xf numFmtId="164" fontId="4" fillId="0" borderId="70" xfId="0" applyFont="1" applyFill="1" applyBorder="1" applyAlignment="1">
      <alignment horizontal="center"/>
    </xf>
    <xf numFmtId="164" fontId="4" fillId="0" borderId="69" xfId="0" applyFont="1" applyFill="1" applyBorder="1" applyAlignment="1">
      <alignment/>
    </xf>
    <xf numFmtId="164" fontId="22" fillId="0" borderId="2" xfId="0" applyFont="1" applyBorder="1" applyAlignment="1">
      <alignment horizontal="left"/>
    </xf>
    <xf numFmtId="164" fontId="22" fillId="0" borderId="3" xfId="0" applyFont="1" applyBorder="1" applyAlignment="1">
      <alignment horizontal="center"/>
    </xf>
    <xf numFmtId="164" fontId="21" fillId="0" borderId="3" xfId="0" applyFont="1" applyFill="1" applyBorder="1" applyAlignment="1">
      <alignment horizontal="center"/>
    </xf>
    <xf numFmtId="164" fontId="22" fillId="0" borderId="37" xfId="0" applyFont="1" applyBorder="1" applyAlignment="1">
      <alignment horizontal="center"/>
    </xf>
    <xf numFmtId="164" fontId="22" fillId="0" borderId="113" xfId="0" applyFont="1" applyFill="1" applyBorder="1" applyAlignment="1">
      <alignment horizontal="center"/>
    </xf>
    <xf numFmtId="164" fontId="22" fillId="0" borderId="2" xfId="0" applyFont="1" applyFill="1" applyBorder="1" applyAlignment="1">
      <alignment horizontal="center"/>
    </xf>
    <xf numFmtId="164" fontId="22" fillId="0" borderId="14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22" fillId="0" borderId="41" xfId="0" applyFont="1" applyFill="1" applyBorder="1" applyAlignment="1">
      <alignment horizontal="center"/>
    </xf>
    <xf numFmtId="164" fontId="21" fillId="0" borderId="58" xfId="0" applyFont="1" applyFill="1" applyBorder="1" applyAlignment="1">
      <alignment horizontal="center"/>
    </xf>
    <xf numFmtId="164" fontId="4" fillId="0" borderId="46" xfId="0" applyFont="1" applyFill="1" applyBorder="1" applyAlignment="1">
      <alignment horizontal="center"/>
    </xf>
    <xf numFmtId="164" fontId="4" fillId="0" borderId="24" xfId="0" applyFont="1" applyBorder="1" applyAlignment="1">
      <alignment horizontal="left"/>
    </xf>
    <xf numFmtId="164" fontId="4" fillId="0" borderId="10" xfId="0" applyFont="1" applyBorder="1" applyAlignment="1">
      <alignment horizontal="center"/>
    </xf>
    <xf numFmtId="164" fontId="2" fillId="0" borderId="10" xfId="0" applyFont="1" applyFill="1" applyBorder="1" applyAlignment="1">
      <alignment horizontal="right"/>
    </xf>
    <xf numFmtId="164" fontId="4" fillId="0" borderId="114" xfId="0" applyFont="1" applyBorder="1" applyAlignment="1">
      <alignment horizontal="center"/>
    </xf>
    <xf numFmtId="164" fontId="4" fillId="0" borderId="50" xfId="0" applyFont="1" applyFill="1" applyBorder="1" applyAlignment="1">
      <alignment horizontal="center"/>
    </xf>
    <xf numFmtId="165" fontId="4" fillId="0" borderId="115" xfId="0" applyNumberFormat="1" applyFont="1" applyFill="1" applyBorder="1" applyAlignment="1">
      <alignment horizontal="center"/>
    </xf>
    <xf numFmtId="165" fontId="21" fillId="0" borderId="23" xfId="0" applyNumberFormat="1" applyFont="1" applyFill="1" applyBorder="1" applyAlignment="1">
      <alignment horizontal="center"/>
    </xf>
    <xf numFmtId="165" fontId="21" fillId="0" borderId="115" xfId="0" applyNumberFormat="1" applyFont="1" applyFill="1" applyBorder="1" applyAlignment="1">
      <alignment horizontal="center"/>
    </xf>
    <xf numFmtId="164" fontId="5" fillId="0" borderId="5" xfId="0" applyFont="1" applyFill="1" applyBorder="1" applyAlignment="1">
      <alignment/>
    </xf>
    <xf numFmtId="164" fontId="4" fillId="0" borderId="16" xfId="0" applyFont="1" applyBorder="1" applyAlignment="1">
      <alignment horizontal="center"/>
    </xf>
    <xf numFmtId="164" fontId="2" fillId="0" borderId="16" xfId="0" applyFont="1" applyFill="1" applyBorder="1" applyAlignment="1">
      <alignment horizontal="right"/>
    </xf>
    <xf numFmtId="164" fontId="4" fillId="0" borderId="51" xfId="0" applyFont="1" applyFill="1" applyBorder="1" applyAlignment="1">
      <alignment horizontal="center"/>
    </xf>
    <xf numFmtId="165" fontId="4" fillId="0" borderId="116" xfId="0" applyNumberFormat="1" applyFont="1" applyFill="1" applyBorder="1" applyAlignment="1">
      <alignment horizontal="center"/>
    </xf>
    <xf numFmtId="165" fontId="21" fillId="0" borderId="44" xfId="0" applyNumberFormat="1" applyFont="1" applyFill="1" applyBorder="1" applyAlignment="1">
      <alignment horizontal="center"/>
    </xf>
    <xf numFmtId="165" fontId="21" fillId="0" borderId="116" xfId="0" applyNumberFormat="1" applyFont="1" applyFill="1" applyBorder="1" applyAlignment="1">
      <alignment horizontal="center"/>
    </xf>
    <xf numFmtId="164" fontId="21" fillId="0" borderId="5" xfId="0" applyFont="1" applyFill="1" applyBorder="1" applyAlignment="1">
      <alignment/>
    </xf>
    <xf numFmtId="164" fontId="2" fillId="0" borderId="6" xfId="0" applyFont="1" applyFill="1" applyBorder="1" applyAlignment="1">
      <alignment horizontal="right"/>
    </xf>
    <xf numFmtId="164" fontId="4" fillId="0" borderId="7" xfId="0" applyFont="1" applyBorder="1" applyAlignment="1">
      <alignment horizontal="center"/>
    </xf>
    <xf numFmtId="164" fontId="4" fillId="0" borderId="112" xfId="0" applyFont="1" applyFill="1" applyBorder="1" applyAlignment="1">
      <alignment horizontal="left"/>
    </xf>
    <xf numFmtId="164" fontId="4" fillId="0" borderId="20" xfId="0" applyFont="1" applyFill="1" applyBorder="1" applyAlignment="1">
      <alignment horizontal="left"/>
    </xf>
    <xf numFmtId="164" fontId="4" fillId="0" borderId="20" xfId="0" applyFont="1" applyFill="1" applyBorder="1" applyAlignment="1">
      <alignment horizontal="center"/>
    </xf>
    <xf numFmtId="164" fontId="4" fillId="0" borderId="41" xfId="0" applyFont="1" applyFill="1" applyBorder="1" applyAlignment="1">
      <alignment horizontal="center"/>
    </xf>
    <xf numFmtId="164" fontId="4" fillId="0" borderId="18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4" fillId="0" borderId="21" xfId="0" applyFont="1" applyFill="1" applyBorder="1" applyAlignment="1">
      <alignment horizontal="center"/>
    </xf>
    <xf numFmtId="164" fontId="19" fillId="3" borderId="8" xfId="0" applyFont="1" applyFill="1" applyBorder="1" applyAlignment="1" applyProtection="1">
      <alignment/>
      <protection locked="0"/>
    </xf>
    <xf numFmtId="164" fontId="4" fillId="0" borderId="112" xfId="0" applyFont="1" applyFill="1" applyBorder="1" applyAlignment="1" applyProtection="1">
      <alignment horizontal="left"/>
      <protection/>
    </xf>
    <xf numFmtId="164" fontId="21" fillId="0" borderId="20" xfId="0" applyFont="1" applyFill="1" applyBorder="1" applyAlignment="1" applyProtection="1">
      <alignment horizontal="center"/>
      <protection/>
    </xf>
    <xf numFmtId="164" fontId="22" fillId="0" borderId="20" xfId="0" applyFont="1" applyFill="1" applyBorder="1" applyAlignment="1" applyProtection="1">
      <alignment horizontal="center"/>
      <protection/>
    </xf>
    <xf numFmtId="164" fontId="4" fillId="0" borderId="20" xfId="0" applyFont="1" applyFill="1" applyBorder="1" applyAlignment="1" applyProtection="1">
      <alignment horizontal="center"/>
      <protection/>
    </xf>
    <xf numFmtId="164" fontId="4" fillId="0" borderId="20" xfId="0" applyFont="1" applyFill="1" applyBorder="1" applyAlignment="1" applyProtection="1">
      <alignment horizontal="left"/>
      <protection/>
    </xf>
    <xf numFmtId="164" fontId="4" fillId="0" borderId="41" xfId="0" applyFont="1" applyFill="1" applyBorder="1" applyAlignment="1" applyProtection="1">
      <alignment horizontal="center"/>
      <protection/>
    </xf>
    <xf numFmtId="164" fontId="4" fillId="0" borderId="18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left"/>
      <protection/>
    </xf>
    <xf numFmtId="164" fontId="4" fillId="0" borderId="21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 horizontal="center"/>
      <protection/>
    </xf>
    <xf numFmtId="164" fontId="22" fillId="0" borderId="5" xfId="0" applyFont="1" applyBorder="1" applyAlignment="1">
      <alignment horizontal="left"/>
    </xf>
    <xf numFmtId="164" fontId="4" fillId="0" borderId="6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4" fontId="21" fillId="0" borderId="6" xfId="0" applyFont="1" applyFill="1" applyBorder="1" applyAlignment="1">
      <alignment horizontal="center"/>
    </xf>
    <xf numFmtId="164" fontId="20" fillId="3" borderId="8" xfId="0" applyFont="1" applyFill="1" applyBorder="1" applyAlignment="1" applyProtection="1">
      <alignment/>
      <protection locked="0"/>
    </xf>
    <xf numFmtId="164" fontId="0" fillId="0" borderId="18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21" xfId="0" applyFill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left"/>
    </xf>
    <xf numFmtId="166" fontId="4" fillId="0" borderId="6" xfId="0" applyNumberFormat="1" applyFont="1" applyBorder="1" applyAlignment="1">
      <alignment horizontal="center"/>
    </xf>
    <xf numFmtId="164" fontId="25" fillId="0" borderId="43" xfId="0" applyFont="1" applyFill="1" applyBorder="1" applyAlignment="1">
      <alignment horizontal="right"/>
    </xf>
    <xf numFmtId="164" fontId="4" fillId="0" borderId="51" xfId="0" applyFont="1" applyFill="1" applyBorder="1" applyAlignment="1">
      <alignment horizontal="left"/>
    </xf>
    <xf numFmtId="165" fontId="4" fillId="0" borderId="116" xfId="0" applyNumberFormat="1" applyFont="1" applyFill="1" applyBorder="1" applyAlignment="1">
      <alignment horizontal="left"/>
    </xf>
    <xf numFmtId="165" fontId="4" fillId="0" borderId="44" xfId="0" applyNumberFormat="1" applyFont="1" applyFill="1" applyBorder="1" applyAlignment="1">
      <alignment horizontal="center"/>
    </xf>
    <xf numFmtId="164" fontId="21" fillId="3" borderId="7" xfId="0" applyFont="1" applyFill="1" applyBorder="1" applyAlignment="1" applyProtection="1">
      <alignment horizontal="center"/>
      <protection locked="0"/>
    </xf>
    <xf numFmtId="164" fontId="21" fillId="0" borderId="7" xfId="0" applyFont="1" applyBorder="1" applyAlignment="1">
      <alignment horizontal="left"/>
    </xf>
    <xf numFmtId="164" fontId="21" fillId="2" borderId="27" xfId="0" applyFont="1" applyFill="1" applyBorder="1" applyAlignment="1">
      <alignment horizontal="center"/>
    </xf>
    <xf numFmtId="164" fontId="21" fillId="2" borderId="44" xfId="0" applyNumberFormat="1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2" fillId="0" borderId="51" xfId="0" applyFont="1" applyFill="1" applyBorder="1" applyAlignment="1">
      <alignment/>
    </xf>
    <xf numFmtId="164" fontId="21" fillId="0" borderId="116" xfId="0" applyFont="1" applyFill="1" applyBorder="1" applyAlignment="1">
      <alignment horizontal="center"/>
    </xf>
    <xf numFmtId="164" fontId="4" fillId="0" borderId="11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left"/>
    </xf>
    <xf numFmtId="166" fontId="4" fillId="0" borderId="6" xfId="0" applyNumberFormat="1" applyFont="1" applyFill="1" applyBorder="1" applyAlignment="1">
      <alignment horizontal="center"/>
    </xf>
    <xf numFmtId="164" fontId="4" fillId="0" borderId="118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right"/>
    </xf>
    <xf numFmtId="164" fontId="21" fillId="3" borderId="26" xfId="0" applyFont="1" applyFill="1" applyBorder="1" applyAlignment="1" applyProtection="1">
      <alignment/>
      <protection locked="0"/>
    </xf>
    <xf numFmtId="164" fontId="4" fillId="0" borderId="25" xfId="0" applyFont="1" applyBorder="1" applyAlignment="1">
      <alignment/>
    </xf>
    <xf numFmtId="164" fontId="4" fillId="0" borderId="81" xfId="0" applyFont="1" applyBorder="1" applyAlignment="1">
      <alignment/>
    </xf>
    <xf numFmtId="164" fontId="4" fillId="0" borderId="28" xfId="0" applyFont="1" applyBorder="1" applyAlignment="1">
      <alignment horizontal="center"/>
    </xf>
    <xf numFmtId="165" fontId="4" fillId="0" borderId="67" xfId="0" applyNumberFormat="1" applyFont="1" applyBorder="1" applyAlignment="1">
      <alignment horizontal="center"/>
    </xf>
    <xf numFmtId="166" fontId="4" fillId="0" borderId="67" xfId="0" applyNumberFormat="1" applyFont="1" applyFill="1" applyBorder="1" applyAlignment="1">
      <alignment horizontal="center"/>
    </xf>
    <xf numFmtId="166" fontId="4" fillId="0" borderId="67" xfId="0" applyNumberFormat="1" applyFont="1" applyBorder="1" applyAlignment="1">
      <alignment horizontal="center"/>
    </xf>
    <xf numFmtId="167" fontId="5" fillId="0" borderId="83" xfId="0" applyNumberFormat="1" applyFont="1" applyBorder="1" applyAlignment="1">
      <alignment horizontal="center"/>
    </xf>
    <xf numFmtId="164" fontId="4" fillId="0" borderId="68" xfId="0" applyFont="1" applyBorder="1" applyAlignment="1">
      <alignment/>
    </xf>
    <xf numFmtId="164" fontId="4" fillId="0" borderId="69" xfId="0" applyFont="1" applyBorder="1" applyAlignment="1">
      <alignment/>
    </xf>
    <xf numFmtId="165" fontId="4" fillId="0" borderId="68" xfId="0" applyNumberFormat="1" applyFont="1" applyBorder="1" applyAlignment="1">
      <alignment/>
    </xf>
    <xf numFmtId="165" fontId="13" fillId="0" borderId="69" xfId="0" applyNumberFormat="1" applyFont="1" applyFill="1" applyBorder="1" applyAlignment="1">
      <alignment/>
    </xf>
    <xf numFmtId="166" fontId="4" fillId="0" borderId="69" xfId="0" applyNumberFormat="1" applyFont="1" applyBorder="1" applyAlignment="1">
      <alignment horizontal="center"/>
    </xf>
    <xf numFmtId="164" fontId="4" fillId="4" borderId="51" xfId="0" applyFont="1" applyFill="1" applyBorder="1" applyAlignment="1">
      <alignment horizontal="center"/>
    </xf>
    <xf numFmtId="164" fontId="0" fillId="0" borderId="58" xfId="0" applyBorder="1" applyAlignment="1">
      <alignment/>
    </xf>
    <xf numFmtId="165" fontId="21" fillId="4" borderId="116" xfId="0" applyNumberFormat="1" applyFont="1" applyFill="1" applyBorder="1" applyAlignment="1">
      <alignment/>
    </xf>
    <xf numFmtId="165" fontId="4" fillId="4" borderId="44" xfId="0" applyNumberFormat="1" applyFont="1" applyFill="1" applyBorder="1" applyAlignment="1">
      <alignment horizontal="center"/>
    </xf>
    <xf numFmtId="164" fontId="4" fillId="0" borderId="116" xfId="0" applyFont="1" applyFill="1" applyBorder="1" applyAlignment="1">
      <alignment/>
    </xf>
    <xf numFmtId="164" fontId="4" fillId="4" borderId="44" xfId="0" applyFont="1" applyFill="1" applyBorder="1" applyAlignment="1">
      <alignment horizontal="center"/>
    </xf>
    <xf numFmtId="164" fontId="4" fillId="0" borderId="63" xfId="0" applyFont="1" applyBorder="1" applyAlignment="1">
      <alignment/>
    </xf>
    <xf numFmtId="164" fontId="4" fillId="0" borderId="81" xfId="0" applyFont="1" applyBorder="1" applyAlignment="1">
      <alignment horizontal="left"/>
    </xf>
    <xf numFmtId="164" fontId="4" fillId="0" borderId="81" xfId="0" applyFont="1" applyBorder="1" applyAlignment="1">
      <alignment horizontal="center"/>
    </xf>
    <xf numFmtId="164" fontId="2" fillId="0" borderId="81" xfId="0" applyFont="1" applyFill="1" applyBorder="1" applyAlignment="1">
      <alignment horizontal="right"/>
    </xf>
    <xf numFmtId="164" fontId="4" fillId="0" borderId="119" xfId="0" applyFont="1" applyBorder="1" applyAlignment="1">
      <alignment horizontal="center"/>
    </xf>
    <xf numFmtId="164" fontId="4" fillId="0" borderId="120" xfId="0" applyFont="1" applyFill="1" applyBorder="1" applyAlignment="1">
      <alignment horizontal="center"/>
    </xf>
    <xf numFmtId="164" fontId="4" fillId="0" borderId="121" xfId="0" applyFont="1" applyFill="1" applyBorder="1" applyAlignment="1">
      <alignment horizontal="center"/>
    </xf>
    <xf numFmtId="164" fontId="4" fillId="4" borderId="83" xfId="0" applyFont="1" applyFill="1" applyBorder="1" applyAlignment="1">
      <alignment horizontal="center"/>
    </xf>
    <xf numFmtId="165" fontId="21" fillId="0" borderId="121" xfId="0" applyNumberFormat="1" applyFont="1" applyFill="1" applyBorder="1" applyAlignment="1">
      <alignment horizontal="center"/>
    </xf>
    <xf numFmtId="165" fontId="21" fillId="0" borderId="83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20" fillId="0" borderId="42" xfId="0" applyFont="1" applyBorder="1" applyAlignment="1">
      <alignment/>
    </xf>
    <xf numFmtId="164" fontId="9" fillId="0" borderId="4" xfId="0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7" fontId="23" fillId="0" borderId="3" xfId="0" applyNumberFormat="1" applyFont="1" applyBorder="1" applyAlignment="1">
      <alignment horizontal="center"/>
    </xf>
    <xf numFmtId="164" fontId="13" fillId="0" borderId="3" xfId="0" applyFont="1" applyBorder="1" applyAlignment="1">
      <alignment/>
    </xf>
    <xf numFmtId="164" fontId="13" fillId="0" borderId="4" xfId="0" applyFont="1" applyBorder="1" applyAlignment="1">
      <alignment/>
    </xf>
    <xf numFmtId="164" fontId="21" fillId="0" borderId="29" xfId="0" applyFont="1" applyBorder="1" applyAlignment="1">
      <alignment/>
    </xf>
    <xf numFmtId="164" fontId="16" fillId="0" borderId="3" xfId="0" applyFont="1" applyFill="1" applyBorder="1" applyAlignment="1">
      <alignment/>
    </xf>
    <xf numFmtId="164" fontId="2" fillId="0" borderId="42" xfId="0" applyFont="1" applyBorder="1" applyAlignment="1">
      <alignment/>
    </xf>
    <xf numFmtId="164" fontId="20" fillId="0" borderId="112" xfId="0" applyFont="1" applyBorder="1" applyAlignment="1">
      <alignment/>
    </xf>
    <xf numFmtId="164" fontId="20" fillId="0" borderId="20" xfId="0" applyFont="1" applyBorder="1" applyAlignment="1">
      <alignment/>
    </xf>
    <xf numFmtId="165" fontId="20" fillId="0" borderId="20" xfId="0" applyNumberFormat="1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167" fontId="20" fillId="0" borderId="41" xfId="0" applyNumberFormat="1" applyFont="1" applyBorder="1" applyAlignment="1">
      <alignment horizontal="center"/>
    </xf>
    <xf numFmtId="164" fontId="20" fillId="0" borderId="5" xfId="0" applyFont="1" applyBorder="1" applyAlignment="1">
      <alignment horizontal="left"/>
    </xf>
    <xf numFmtId="165" fontId="20" fillId="0" borderId="6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4" fontId="20" fillId="0" borderId="8" xfId="0" applyFont="1" applyBorder="1" applyAlignment="1">
      <alignment horizontal="center"/>
    </xf>
    <xf numFmtId="164" fontId="20" fillId="0" borderId="20" xfId="0" applyFont="1" applyBorder="1" applyAlignment="1">
      <alignment horizontal="center"/>
    </xf>
    <xf numFmtId="164" fontId="20" fillId="0" borderId="41" xfId="0" applyNumberFormat="1" applyFont="1" applyBorder="1" applyAlignment="1">
      <alignment horizontal="center"/>
    </xf>
    <xf numFmtId="164" fontId="20" fillId="0" borderId="72" xfId="0" applyFont="1" applyBorder="1" applyAlignment="1">
      <alignment horizontal="left"/>
    </xf>
    <xf numFmtId="164" fontId="20" fillId="0" borderId="10" xfId="0" applyFont="1" applyFill="1" applyBorder="1" applyAlignment="1">
      <alignment/>
    </xf>
    <xf numFmtId="165" fontId="20" fillId="0" borderId="10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164" fontId="18" fillId="0" borderId="120" xfId="0" applyFont="1" applyFill="1" applyBorder="1" applyAlignment="1">
      <alignment/>
    </xf>
    <xf numFmtId="164" fontId="18" fillId="0" borderId="117" xfId="0" applyFont="1" applyFill="1" applyBorder="1" applyAlignment="1">
      <alignment/>
    </xf>
    <xf numFmtId="165" fontId="21" fillId="0" borderId="6" xfId="0" applyNumberFormat="1" applyFont="1" applyFill="1" applyBorder="1" applyAlignment="1">
      <alignment horizontal="center"/>
    </xf>
    <xf numFmtId="164" fontId="21" fillId="0" borderId="8" xfId="0" applyNumberFormat="1" applyFont="1" applyFill="1" applyBorder="1" applyAlignment="1">
      <alignment horizontal="center"/>
    </xf>
    <xf numFmtId="164" fontId="4" fillId="0" borderId="43" xfId="0" applyFont="1" applyBorder="1" applyAlignment="1">
      <alignment horizontal="right"/>
    </xf>
    <xf numFmtId="164" fontId="5" fillId="0" borderId="44" xfId="0" applyFont="1" applyBorder="1" applyAlignment="1">
      <alignment horizontal="center"/>
    </xf>
    <xf numFmtId="164" fontId="21" fillId="0" borderId="47" xfId="0" applyFont="1" applyBorder="1" applyAlignment="1">
      <alignment/>
    </xf>
    <xf numFmtId="164" fontId="21" fillId="0" borderId="48" xfId="0" applyFont="1" applyBorder="1" applyAlignment="1">
      <alignment/>
    </xf>
    <xf numFmtId="164" fontId="21" fillId="0" borderId="43" xfId="0" applyFont="1" applyBorder="1" applyAlignment="1">
      <alignment horizontal="right"/>
    </xf>
    <xf numFmtId="164" fontId="18" fillId="3" borderId="29" xfId="0" applyFont="1" applyFill="1" applyBorder="1" applyAlignment="1" applyProtection="1">
      <alignment/>
      <protection locked="0"/>
    </xf>
    <xf numFmtId="164" fontId="21" fillId="0" borderId="51" xfId="0" applyFont="1" applyBorder="1" applyAlignment="1">
      <alignment horizontal="center"/>
    </xf>
    <xf numFmtId="165" fontId="21" fillId="0" borderId="27" xfId="0" applyNumberFormat="1" applyFont="1" applyFill="1" applyBorder="1" applyAlignment="1">
      <alignment horizontal="center"/>
    </xf>
    <xf numFmtId="164" fontId="21" fillId="0" borderId="44" xfId="0" applyNumberFormat="1" applyFont="1" applyFill="1" applyBorder="1" applyAlignment="1">
      <alignment horizontal="center"/>
    </xf>
    <xf numFmtId="164" fontId="4" fillId="0" borderId="18" xfId="0" applyFont="1" applyBorder="1" applyAlignment="1">
      <alignment/>
    </xf>
    <xf numFmtId="164" fontId="21" fillId="0" borderId="18" xfId="0" applyFont="1" applyBorder="1" applyAlignment="1">
      <alignment/>
    </xf>
    <xf numFmtId="164" fontId="18" fillId="3" borderId="120" xfId="0" applyFont="1" applyFill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18" fillId="3" borderId="117" xfId="0" applyFont="1" applyFill="1" applyBorder="1" applyAlignment="1" applyProtection="1">
      <alignment/>
      <protection locked="0"/>
    </xf>
    <xf numFmtId="164" fontId="4" fillId="0" borderId="24" xfId="0" applyFont="1" applyBorder="1" applyAlignment="1">
      <alignment/>
    </xf>
    <xf numFmtId="164" fontId="4" fillId="0" borderId="16" xfId="0" applyFont="1" applyBorder="1" applyAlignment="1">
      <alignment/>
    </xf>
    <xf numFmtId="164" fontId="21" fillId="0" borderId="120" xfId="0" applyFont="1" applyBorder="1" applyAlignment="1">
      <alignment horizontal="center"/>
    </xf>
    <xf numFmtId="164" fontId="21" fillId="2" borderId="5" xfId="0" applyFont="1" applyFill="1" applyBorder="1" applyAlignment="1">
      <alignment/>
    </xf>
    <xf numFmtId="164" fontId="21" fillId="2" borderId="6" xfId="0" applyFont="1" applyFill="1" applyBorder="1" applyAlignment="1">
      <alignment/>
    </xf>
    <xf numFmtId="165" fontId="21" fillId="2" borderId="27" xfId="0" applyNumberFormat="1" applyFont="1" applyFill="1" applyBorder="1" applyAlignment="1">
      <alignment horizontal="center"/>
    </xf>
    <xf numFmtId="164" fontId="4" fillId="0" borderId="25" xfId="0" applyFont="1" applyBorder="1" applyAlignment="1">
      <alignment horizontal="left"/>
    </xf>
    <xf numFmtId="164" fontId="4" fillId="0" borderId="67" xfId="0" applyFont="1" applyBorder="1" applyAlignment="1">
      <alignment horizontal="center"/>
    </xf>
    <xf numFmtId="164" fontId="5" fillId="0" borderId="83" xfId="0" applyFont="1" applyBorder="1" applyAlignment="1">
      <alignment horizontal="center"/>
    </xf>
    <xf numFmtId="164" fontId="21" fillId="0" borderId="81" xfId="0" applyFont="1" applyFill="1" applyBorder="1" applyAlignment="1">
      <alignment/>
    </xf>
    <xf numFmtId="165" fontId="21" fillId="3" borderId="67" xfId="0" applyNumberFormat="1" applyFont="1" applyFill="1" applyBorder="1" applyAlignment="1" applyProtection="1">
      <alignment horizontal="center"/>
      <protection locked="0"/>
    </xf>
    <xf numFmtId="165" fontId="21" fillId="0" borderId="67" xfId="0" applyNumberFormat="1" applyFont="1" applyFill="1" applyBorder="1" applyAlignment="1">
      <alignment horizontal="center"/>
    </xf>
    <xf numFmtId="164" fontId="21" fillId="0" borderId="83" xfId="0" applyNumberFormat="1" applyFont="1" applyFill="1" applyBorder="1" applyAlignment="1">
      <alignment horizontal="center"/>
    </xf>
    <xf numFmtId="164" fontId="20" fillId="0" borderId="72" xfId="0" applyFont="1" applyFill="1" applyBorder="1" applyAlignment="1">
      <alignment horizontal="left"/>
    </xf>
    <xf numFmtId="164" fontId="20" fillId="0" borderId="10" xfId="0" applyFont="1" applyFill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21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6" fontId="21" fillId="0" borderId="6" xfId="0" applyNumberFormat="1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5" fillId="0" borderId="44" xfId="0" applyFont="1" applyFill="1" applyBorder="1" applyAlignment="1">
      <alignment horizontal="center"/>
    </xf>
    <xf numFmtId="165" fontId="5" fillId="0" borderId="6" xfId="0" applyNumberFormat="1" applyFont="1" applyFill="1" applyBorder="1" applyAlignment="1" applyProtection="1">
      <alignment horizontal="center"/>
      <protection locked="0"/>
    </xf>
    <xf numFmtId="164" fontId="22" fillId="0" borderId="5" xfId="0" applyFont="1" applyFill="1" applyBorder="1" applyAlignment="1">
      <alignment horizontal="left"/>
    </xf>
    <xf numFmtId="164" fontId="4" fillId="0" borderId="0" xfId="0" applyFont="1" applyAlignment="1">
      <alignment/>
    </xf>
    <xf numFmtId="164" fontId="4" fillId="0" borderId="18" xfId="0" applyFont="1" applyBorder="1" applyAlignment="1">
      <alignment/>
    </xf>
    <xf numFmtId="165" fontId="21" fillId="0" borderId="6" xfId="0" applyNumberFormat="1" applyFont="1" applyFill="1" applyBorder="1" applyAlignment="1" applyProtection="1">
      <alignment horizontal="center"/>
      <protection locked="0"/>
    </xf>
    <xf numFmtId="164" fontId="4" fillId="0" borderId="5" xfId="0" applyFont="1" applyFill="1" applyBorder="1" applyAlignment="1">
      <alignment horizontal="left" indent="1"/>
    </xf>
    <xf numFmtId="164" fontId="4" fillId="0" borderId="52" xfId="0" applyFont="1" applyFill="1" applyBorder="1" applyAlignment="1">
      <alignment/>
    </xf>
    <xf numFmtId="164" fontId="4" fillId="0" borderId="52" xfId="0" applyFont="1" applyFill="1" applyBorder="1" applyAlignment="1">
      <alignment horizontal="left" indent="1"/>
    </xf>
    <xf numFmtId="164" fontId="4" fillId="0" borderId="53" xfId="0" applyFont="1" applyFill="1" applyBorder="1" applyAlignment="1">
      <alignment/>
    </xf>
    <xf numFmtId="164" fontId="4" fillId="0" borderId="45" xfId="0" applyFont="1" applyFill="1" applyBorder="1" applyAlignment="1">
      <alignment horizontal="left" indent="1"/>
    </xf>
    <xf numFmtId="164" fontId="4" fillId="0" borderId="58" xfId="0" applyFont="1" applyFill="1" applyBorder="1" applyAlignment="1">
      <alignment/>
    </xf>
    <xf numFmtId="164" fontId="4" fillId="0" borderId="45" xfId="0" applyFont="1" applyFill="1" applyBorder="1" applyAlignment="1">
      <alignment/>
    </xf>
    <xf numFmtId="164" fontId="4" fillId="0" borderId="122" xfId="0" applyFont="1" applyFill="1" applyBorder="1" applyAlignment="1">
      <alignment horizontal="left" indent="1"/>
    </xf>
    <xf numFmtId="164" fontId="4" fillId="0" borderId="122" xfId="0" applyFont="1" applyFill="1" applyBorder="1" applyAlignment="1">
      <alignment/>
    </xf>
    <xf numFmtId="164" fontId="4" fillId="0" borderId="123" xfId="0" applyFont="1" applyFill="1" applyBorder="1" applyAlignment="1">
      <alignment/>
    </xf>
    <xf numFmtId="164" fontId="4" fillId="0" borderId="81" xfId="0" applyFont="1" applyFill="1" applyBorder="1" applyAlignment="1">
      <alignment/>
    </xf>
    <xf numFmtId="164" fontId="4" fillId="0" borderId="28" xfId="0" applyFont="1" applyFill="1" applyBorder="1" applyAlignment="1">
      <alignment/>
    </xf>
    <xf numFmtId="165" fontId="4" fillId="0" borderId="67" xfId="0" applyNumberFormat="1" applyFont="1" applyFill="1" applyBorder="1" applyAlignment="1">
      <alignment horizontal="center"/>
    </xf>
    <xf numFmtId="164" fontId="21" fillId="0" borderId="28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16" fillId="0" borderId="13" xfId="0" applyFont="1" applyBorder="1" applyAlignment="1" applyProtection="1">
      <alignment horizontal="center"/>
      <protection locked="0"/>
    </xf>
    <xf numFmtId="165" fontId="20" fillId="0" borderId="20" xfId="0" applyNumberFormat="1" applyFont="1" applyBorder="1" applyAlignment="1" applyProtection="1">
      <alignment horizontal="center"/>
      <protection locked="0"/>
    </xf>
    <xf numFmtId="164" fontId="4" fillId="0" borderId="25" xfId="0" applyFont="1" applyFill="1" applyBorder="1" applyAlignment="1">
      <alignment horizontal="left"/>
    </xf>
    <xf numFmtId="164" fontId="4" fillId="0" borderId="81" xfId="0" applyFont="1" applyFill="1" applyBorder="1" applyAlignment="1">
      <alignment horizontal="center"/>
    </xf>
    <xf numFmtId="164" fontId="5" fillId="0" borderId="83" xfId="0" applyFont="1" applyFill="1" applyBorder="1" applyAlignment="1">
      <alignment horizontal="center"/>
    </xf>
    <xf numFmtId="164" fontId="4" fillId="4" borderId="112" xfId="0" applyFont="1" applyFill="1" applyBorder="1" applyAlignment="1">
      <alignment horizontal="left"/>
    </xf>
    <xf numFmtId="164" fontId="4" fillId="4" borderId="20" xfId="0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 horizontal="center"/>
    </xf>
    <xf numFmtId="166" fontId="4" fillId="4" borderId="20" xfId="0" applyNumberFormat="1" applyFont="1" applyFill="1" applyBorder="1" applyAlignment="1">
      <alignment horizontal="center"/>
    </xf>
    <xf numFmtId="164" fontId="5" fillId="4" borderId="41" xfId="0" applyFont="1" applyFill="1" applyBorder="1" applyAlignment="1">
      <alignment horizontal="center"/>
    </xf>
    <xf numFmtId="164" fontId="21" fillId="0" borderId="20" xfId="0" applyFont="1" applyFill="1" applyBorder="1" applyAlignment="1">
      <alignment/>
    </xf>
    <xf numFmtId="165" fontId="21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4" fillId="4" borderId="18" xfId="0" applyFont="1" applyFill="1" applyBorder="1" applyAlignment="1">
      <alignment horizontal="left"/>
    </xf>
    <xf numFmtId="164" fontId="4" fillId="4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164" fontId="5" fillId="4" borderId="21" xfId="0" applyFont="1" applyFill="1" applyBorder="1" applyAlignment="1">
      <alignment horizontal="center"/>
    </xf>
    <xf numFmtId="164" fontId="4" fillId="0" borderId="28" xfId="0" applyFont="1" applyBorder="1" applyAlignment="1">
      <alignment/>
    </xf>
    <xf numFmtId="164" fontId="4" fillId="4" borderId="36" xfId="0" applyFont="1" applyFill="1" applyBorder="1" applyAlignment="1">
      <alignment horizontal="left"/>
    </xf>
    <xf numFmtId="164" fontId="4" fillId="4" borderId="31" xfId="0" applyFont="1" applyFill="1" applyBorder="1" applyAlignment="1">
      <alignment horizontal="center"/>
    </xf>
    <xf numFmtId="165" fontId="4" fillId="4" borderId="31" xfId="0" applyNumberFormat="1" applyFont="1" applyFill="1" applyBorder="1" applyAlignment="1">
      <alignment horizontal="center"/>
    </xf>
    <xf numFmtId="166" fontId="4" fillId="4" borderId="31" xfId="0" applyNumberFormat="1" applyFont="1" applyFill="1" applyBorder="1" applyAlignment="1">
      <alignment horizontal="center"/>
    </xf>
    <xf numFmtId="164" fontId="5" fillId="4" borderId="32" xfId="0" applyFont="1" applyFill="1" applyBorder="1" applyAlignment="1">
      <alignment horizontal="center"/>
    </xf>
    <xf numFmtId="165" fontId="21" fillId="0" borderId="0" xfId="0" applyNumberFormat="1" applyFont="1" applyBorder="1" applyAlignment="1">
      <alignment/>
    </xf>
    <xf numFmtId="164" fontId="20" fillId="0" borderId="116" xfId="0" applyFont="1" applyBorder="1" applyAlignment="1">
      <alignment horizontal="left"/>
    </xf>
    <xf numFmtId="164" fontId="20" fillId="0" borderId="27" xfId="0" applyFont="1" applyBorder="1" applyAlignment="1">
      <alignment horizontal="center"/>
    </xf>
    <xf numFmtId="164" fontId="20" fillId="0" borderId="27" xfId="0" applyFont="1" applyBorder="1" applyAlignment="1">
      <alignment/>
    </xf>
    <xf numFmtId="164" fontId="20" fillId="0" borderId="115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20" fillId="0" borderId="22" xfId="0" applyFont="1" applyBorder="1" applyAlignment="1">
      <alignment horizontal="center"/>
    </xf>
    <xf numFmtId="164" fontId="20" fillId="0" borderId="22" xfId="0" applyFont="1" applyBorder="1" applyAlignment="1">
      <alignment/>
    </xf>
    <xf numFmtId="164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45" xfId="0" applyFont="1" applyBorder="1" applyAlignment="1">
      <alignment horizontal="left"/>
    </xf>
    <xf numFmtId="164" fontId="5" fillId="0" borderId="45" xfId="0" applyFont="1" applyBorder="1" applyAlignment="1">
      <alignment horizontal="left"/>
    </xf>
    <xf numFmtId="164" fontId="4" fillId="0" borderId="54" xfId="0" applyFont="1" applyFill="1" applyBorder="1" applyAlignment="1">
      <alignment/>
    </xf>
    <xf numFmtId="165" fontId="4" fillId="0" borderId="55" xfId="0" applyNumberFormat="1" applyFont="1" applyFill="1" applyBorder="1" applyAlignment="1">
      <alignment horizontal="center"/>
    </xf>
    <xf numFmtId="164" fontId="20" fillId="0" borderId="27" xfId="0" applyFont="1" applyFill="1" applyBorder="1" applyAlignment="1">
      <alignment/>
    </xf>
    <xf numFmtId="164" fontId="21" fillId="0" borderId="25" xfId="0" applyFont="1" applyFill="1" applyBorder="1" applyAlignment="1">
      <alignment/>
    </xf>
    <xf numFmtId="164" fontId="21" fillId="0" borderId="81" xfId="0" applyFont="1" applyFill="1" applyBorder="1" applyAlignment="1">
      <alignment horizontal="center"/>
    </xf>
    <xf numFmtId="164" fontId="21" fillId="0" borderId="26" xfId="0" applyFont="1" applyFill="1" applyBorder="1" applyAlignment="1">
      <alignment horizontal="center"/>
    </xf>
    <xf numFmtId="164" fontId="21" fillId="0" borderId="27" xfId="0" applyFont="1" applyBorder="1" applyAlignment="1">
      <alignment/>
    </xf>
    <xf numFmtId="164" fontId="2" fillId="0" borderId="27" xfId="0" applyFont="1" applyBorder="1" applyAlignment="1">
      <alignment/>
    </xf>
    <xf numFmtId="164" fontId="27" fillId="0" borderId="2" xfId="0" applyFont="1" applyBorder="1" applyAlignment="1">
      <alignment horizontal="right"/>
    </xf>
    <xf numFmtId="165" fontId="28" fillId="0" borderId="3" xfId="0" applyNumberFormat="1" applyFont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29" fillId="0" borderId="112" xfId="0" applyFont="1" applyBorder="1" applyAlignment="1">
      <alignment horizontal="right"/>
    </xf>
    <xf numFmtId="165" fontId="29" fillId="0" borderId="20" xfId="0" applyNumberFormat="1" applyFont="1" applyBorder="1" applyAlignment="1">
      <alignment/>
    </xf>
    <xf numFmtId="165" fontId="29" fillId="0" borderId="20" xfId="0" applyNumberFormat="1" applyFont="1" applyBorder="1" applyAlignment="1">
      <alignment horizontal="center"/>
    </xf>
    <xf numFmtId="164" fontId="29" fillId="0" borderId="41" xfId="0" applyFont="1" applyBorder="1" applyAlignment="1">
      <alignment horizontal="center"/>
    </xf>
    <xf numFmtId="164" fontId="29" fillId="0" borderId="0" xfId="0" applyFont="1" applyBorder="1" applyAlignment="1">
      <alignment/>
    </xf>
    <xf numFmtId="164" fontId="7" fillId="0" borderId="29" xfId="0" applyFont="1" applyBorder="1" applyAlignment="1">
      <alignment horizontal="right"/>
    </xf>
    <xf numFmtId="165" fontId="6" fillId="0" borderId="29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/>
    </xf>
    <xf numFmtId="164" fontId="12" fillId="0" borderId="29" xfId="0" applyFont="1" applyBorder="1" applyAlignment="1">
      <alignment horizontal="center"/>
    </xf>
    <xf numFmtId="164" fontId="6" fillId="0" borderId="124" xfId="0" applyFont="1" applyBorder="1" applyAlignment="1">
      <alignment/>
    </xf>
    <xf numFmtId="165" fontId="12" fillId="0" borderId="124" xfId="0" applyNumberFormat="1" applyFont="1" applyBorder="1" applyAlignment="1">
      <alignment horizontal="center"/>
    </xf>
    <xf numFmtId="164" fontId="12" fillId="0" borderId="124" xfId="0" applyFont="1" applyBorder="1" applyAlignment="1">
      <alignment horizontal="center"/>
    </xf>
    <xf numFmtId="165" fontId="4" fillId="0" borderId="118" xfId="0" applyNumberFormat="1" applyFont="1" applyBorder="1" applyAlignment="1">
      <alignment horizontal="center"/>
    </xf>
    <xf numFmtId="165" fontId="4" fillId="0" borderId="51" xfId="0" applyNumberFormat="1" applyFont="1" applyBorder="1" applyAlignment="1">
      <alignment horizontal="center"/>
    </xf>
    <xf numFmtId="165" fontId="4" fillId="4" borderId="51" xfId="0" applyNumberFormat="1" applyFont="1" applyFill="1" applyBorder="1" applyAlignment="1">
      <alignment horizontal="center"/>
    </xf>
    <xf numFmtId="164" fontId="6" fillId="0" borderId="5" xfId="0" applyFont="1" applyBorder="1" applyAlignment="1">
      <alignment/>
    </xf>
    <xf numFmtId="165" fontId="21" fillId="0" borderId="8" xfId="0" applyNumberFormat="1" applyFont="1" applyBorder="1" applyAlignment="1">
      <alignment horizontal="center"/>
    </xf>
    <xf numFmtId="165" fontId="4" fillId="0" borderId="117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165" fontId="4" fillId="4" borderId="118" xfId="0" applyNumberFormat="1" applyFont="1" applyFill="1" applyBorder="1" applyAlignment="1">
      <alignment horizontal="center"/>
    </xf>
    <xf numFmtId="164" fontId="4" fillId="0" borderId="25" xfId="0" applyFont="1" applyFill="1" applyBorder="1" applyAlignment="1">
      <alignment/>
    </xf>
    <xf numFmtId="165" fontId="4" fillId="0" borderId="120" xfId="0" applyNumberFormat="1" applyFont="1" applyBorder="1" applyAlignment="1">
      <alignment horizontal="center"/>
    </xf>
    <xf numFmtId="165" fontId="4" fillId="0" borderId="124" xfId="0" applyNumberFormat="1" applyFont="1" applyBorder="1" applyAlignment="1">
      <alignment horizontal="center"/>
    </xf>
    <xf numFmtId="165" fontId="4" fillId="4" borderId="1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3"/>
  <sheetViews>
    <sheetView tabSelected="1" zoomScale="150" zoomScaleNormal="150" zoomScaleSheetLayoutView="100" workbookViewId="0" topLeftCell="A1">
      <pane ySplit="8" topLeftCell="A252" activePane="bottomLeft" state="frozen"/>
      <selection pane="topLeft" activeCell="A1" sqref="A1"/>
      <selection pane="bottomLeft" activeCell="J256" sqref="J256:R282"/>
    </sheetView>
  </sheetViews>
  <sheetFormatPr defaultColWidth="5.00390625" defaultRowHeight="12.75"/>
  <cols>
    <col min="1" max="8" width="5.625" style="0" customWidth="1"/>
    <col min="9" max="9" width="6.375" style="0" customWidth="1"/>
    <col min="10" max="18" width="5.625" style="0" customWidth="1"/>
    <col min="19" max="19" width="8.375" style="0" customWidth="1"/>
    <col min="20" max="25" width="7.75390625" style="0" customWidth="1"/>
    <col min="26" max="26" width="11.625" style="0" customWidth="1"/>
    <col min="27" max="34" width="7.75390625" style="0" customWidth="1"/>
    <col min="35" max="35" width="23.25390625" style="0" customWidth="1"/>
    <col min="36" max="36" width="7.75390625" style="0" customWidth="1"/>
    <col min="37" max="39" width="5.25390625" style="0" customWidth="1"/>
    <col min="40" max="42" width="4.25390625" style="1" customWidth="1"/>
    <col min="43" max="43" width="3.00390625" style="1" customWidth="1"/>
    <col min="44" max="46" width="4.25390625" style="1" customWidth="1"/>
    <col min="47" max="16384" width="5.25390625" style="0" customWidth="1"/>
  </cols>
  <sheetData>
    <row r="1" spans="3:256" s="2" customFormat="1" ht="49.5" customHeight="1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T1" s="3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J1" s="4"/>
      <c r="IU1"/>
      <c r="IV1"/>
    </row>
    <row r="2" spans="5:256" s="2" customFormat="1" ht="12.75">
      <c r="E2" s="5"/>
      <c r="F2" s="5"/>
      <c r="G2" s="4"/>
      <c r="H2" s="4"/>
      <c r="I2" s="4"/>
      <c r="J2" s="4"/>
      <c r="K2" s="4"/>
      <c r="L2" s="4"/>
      <c r="R2" s="6"/>
      <c r="T2" s="7" t="s">
        <v>2</v>
      </c>
      <c r="U2" s="8"/>
      <c r="V2" s="8"/>
      <c r="W2" s="8"/>
      <c r="X2" s="9"/>
      <c r="Y2" s="9"/>
      <c r="Z2" s="10"/>
      <c r="AJ2" s="4"/>
      <c r="IU2"/>
      <c r="IV2"/>
    </row>
    <row r="3" spans="5:256" s="2" customFormat="1" ht="12.75">
      <c r="E3" s="5"/>
      <c r="F3" s="5"/>
      <c r="G3" s="4"/>
      <c r="H3" s="4"/>
      <c r="I3" s="4"/>
      <c r="J3" s="4"/>
      <c r="K3" s="4"/>
      <c r="L3" s="4"/>
      <c r="T3" s="11" t="s">
        <v>3</v>
      </c>
      <c r="U3" s="12"/>
      <c r="V3" s="13" t="s">
        <v>4</v>
      </c>
      <c r="W3" s="14">
        <f>INT(14+1.7*LOG((625+KFS)/625,2))</f>
        <v>14</v>
      </c>
      <c r="X3" s="15"/>
      <c r="Y3" s="16"/>
      <c r="Z3" s="17" t="s">
        <v>5</v>
      </c>
      <c r="AA3" s="16"/>
      <c r="AB3" s="18" t="s">
        <v>6</v>
      </c>
      <c r="AC3" s="16"/>
      <c r="AD3" s="19" t="s">
        <v>7</v>
      </c>
      <c r="AE3" s="16"/>
      <c r="AF3" s="19" t="s">
        <v>8</v>
      </c>
      <c r="AJ3" s="4"/>
      <c r="IU3"/>
      <c r="IV3"/>
    </row>
    <row r="4" spans="1:256" s="38" customFormat="1" ht="12.75">
      <c r="A4" s="20" t="s">
        <v>9</v>
      </c>
      <c r="B4" s="21" t="s">
        <v>10</v>
      </c>
      <c r="C4" s="21"/>
      <c r="D4" s="21"/>
      <c r="E4" s="21"/>
      <c r="F4" s="21"/>
      <c r="G4" s="21"/>
      <c r="H4" s="21"/>
      <c r="I4" s="22" t="s">
        <v>11</v>
      </c>
      <c r="J4" s="23" t="s">
        <v>12</v>
      </c>
      <c r="K4" s="24" t="s">
        <v>13</v>
      </c>
      <c r="L4" s="24" t="s">
        <v>14</v>
      </c>
      <c r="M4" s="25" t="s">
        <v>15</v>
      </c>
      <c r="N4" s="24" t="s">
        <v>16</v>
      </c>
      <c r="O4" s="26" t="s">
        <v>17</v>
      </c>
      <c r="P4" s="24" t="s">
        <v>18</v>
      </c>
      <c r="Q4" s="24" t="s">
        <v>19</v>
      </c>
      <c r="R4" s="26" t="s">
        <v>20</v>
      </c>
      <c r="S4" s="27"/>
      <c r="T4" s="28" t="s">
        <v>21</v>
      </c>
      <c r="U4" s="29">
        <f>INT(14*LOG((625+KFS)/625,2))</f>
        <v>0</v>
      </c>
      <c r="V4" s="30" t="s">
        <v>22</v>
      </c>
      <c r="W4" s="31">
        <f>INT(3.5*LOG((625+AFS+MFS___0+KFS)/625,2))</f>
        <v>0</v>
      </c>
      <c r="X4" s="32" t="s">
        <v>23</v>
      </c>
      <c r="Y4" s="33"/>
      <c r="Z4" s="34">
        <f>AD4-750*AB4+AF4</f>
        <v>0</v>
      </c>
      <c r="AA4" s="33"/>
      <c r="AB4" s="35">
        <v>0</v>
      </c>
      <c r="AC4" s="33"/>
      <c r="AD4" s="36">
        <f>SUM(AN9:AN342,AR9:AR342,AK10:AK69)-SUM(AK72:AK88)</f>
        <v>0</v>
      </c>
      <c r="AE4" s="33"/>
      <c r="AF4" s="37">
        <v>0</v>
      </c>
      <c r="AJ4" s="27"/>
      <c r="AN4" s="39"/>
      <c r="AO4" s="39"/>
      <c r="AP4" s="39"/>
      <c r="AQ4" s="39"/>
      <c r="AR4" s="39"/>
      <c r="AS4" s="39"/>
      <c r="AT4" s="39"/>
      <c r="IU4"/>
      <c r="IV4"/>
    </row>
    <row r="5" spans="1:256" s="39" customFormat="1" ht="12.75">
      <c r="A5" s="40" t="s">
        <v>24</v>
      </c>
      <c r="B5" s="41"/>
      <c r="C5" s="42"/>
      <c r="D5" s="43"/>
      <c r="E5" s="44"/>
      <c r="F5" s="45"/>
      <c r="G5" s="46"/>
      <c r="H5" s="47" t="s">
        <v>25</v>
      </c>
      <c r="I5" s="48">
        <v>75</v>
      </c>
      <c r="J5" s="48">
        <v>75</v>
      </c>
      <c r="K5" s="49">
        <v>75</v>
      </c>
      <c r="L5" s="49">
        <v>75</v>
      </c>
      <c r="M5" s="50">
        <f>N5</f>
        <v>75</v>
      </c>
      <c r="N5" s="49">
        <v>75</v>
      </c>
      <c r="O5" s="51">
        <v>75</v>
      </c>
      <c r="P5" s="49">
        <v>44</v>
      </c>
      <c r="Q5" s="49">
        <v>60</v>
      </c>
      <c r="R5" s="51">
        <v>60</v>
      </c>
      <c r="S5" s="52"/>
      <c r="T5" s="53" t="s">
        <v>26</v>
      </c>
      <c r="U5" s="12">
        <f>INT(3.5*LOG((625+KFS)/625,2))</f>
        <v>0</v>
      </c>
      <c r="V5" s="13" t="s">
        <v>27</v>
      </c>
      <c r="W5" s="14">
        <f>INT(1.7*LOG((625+AFS+KFS)/625,2))</f>
        <v>0</v>
      </c>
      <c r="X5" s="32" t="s">
        <v>28</v>
      </c>
      <c r="Y5" s="33"/>
      <c r="Z5" s="34">
        <f>AD5-750*AB5+AF5</f>
        <v>0</v>
      </c>
      <c r="AA5" s="33"/>
      <c r="AB5" s="35">
        <v>0</v>
      </c>
      <c r="AC5" s="33"/>
      <c r="AD5" s="54">
        <f>SUM(AO9:AO342,AS9:AS342,AK93:AK141)-SUM(AK144:AK162)</f>
        <v>0</v>
      </c>
      <c r="AE5" s="33"/>
      <c r="AF5" s="37">
        <v>0</v>
      </c>
      <c r="AG5" s="55"/>
      <c r="AJ5" s="56"/>
      <c r="AK5" s="56"/>
      <c r="IU5"/>
      <c r="IV5"/>
    </row>
    <row r="6" spans="1:256" s="39" customFormat="1" ht="12.75">
      <c r="A6" s="57" t="s">
        <v>29</v>
      </c>
      <c r="B6" s="58"/>
      <c r="C6" s="59"/>
      <c r="D6" s="60"/>
      <c r="E6" s="61"/>
      <c r="F6" s="62"/>
      <c r="G6" s="63"/>
      <c r="H6" s="64" t="s">
        <v>30</v>
      </c>
      <c r="I6" s="65">
        <v>75</v>
      </c>
      <c r="J6" s="65">
        <v>75</v>
      </c>
      <c r="K6" s="66">
        <v>75</v>
      </c>
      <c r="L6" s="66">
        <v>75</v>
      </c>
      <c r="M6" s="67"/>
      <c r="N6" s="67"/>
      <c r="O6" s="67"/>
      <c r="P6" s="68" t="s">
        <v>31</v>
      </c>
      <c r="Q6" s="69">
        <v>40</v>
      </c>
      <c r="R6" s="70"/>
      <c r="S6" s="71"/>
      <c r="T6" s="53" t="s">
        <v>32</v>
      </c>
      <c r="U6" s="12">
        <f>INT(2.75*LOG((625+AFS+KFS)/625,2))</f>
        <v>0</v>
      </c>
      <c r="V6" s="13" t="s">
        <v>33</v>
      </c>
      <c r="W6" s="14">
        <f>INT(28*LOG((625+MFS___0)/625,2))</f>
        <v>0</v>
      </c>
      <c r="X6" s="72" t="s">
        <v>34</v>
      </c>
      <c r="Y6" s="73"/>
      <c r="Z6" s="74">
        <f>AD6-750*AB6+AF6</f>
        <v>0</v>
      </c>
      <c r="AA6" s="73"/>
      <c r="AB6" s="75">
        <v>0</v>
      </c>
      <c r="AC6" s="73"/>
      <c r="AD6" s="76">
        <f>SUM(AP9:AP342,AT9:AT342,AK177:AK224)-SUM(AK227:AK241)</f>
        <v>0</v>
      </c>
      <c r="AE6" s="73"/>
      <c r="AF6" s="77">
        <v>0</v>
      </c>
      <c r="AG6" s="55"/>
      <c r="AH6" s="27"/>
      <c r="AI6" s="78"/>
      <c r="AJ6" s="79"/>
      <c r="AK6" s="79"/>
      <c r="AN6" s="80" t="s">
        <v>35</v>
      </c>
      <c r="AO6" s="81"/>
      <c r="AP6" s="81"/>
      <c r="AQ6" s="81"/>
      <c r="AR6" s="81"/>
      <c r="AS6" s="81"/>
      <c r="AT6" s="82"/>
      <c r="IT6"/>
      <c r="IU6"/>
      <c r="IV6"/>
    </row>
    <row r="7" spans="1:256" s="39" customFormat="1" ht="12.75">
      <c r="A7" s="83"/>
      <c r="B7" s="84"/>
      <c r="C7" s="84"/>
      <c r="D7" s="84"/>
      <c r="E7" s="85"/>
      <c r="F7" s="86"/>
      <c r="G7" s="87"/>
      <c r="H7" s="87"/>
      <c r="I7" s="88" t="s">
        <v>9</v>
      </c>
      <c r="J7" s="89">
        <v>0</v>
      </c>
      <c r="K7" s="90"/>
      <c r="L7" s="91" t="s">
        <v>36</v>
      </c>
      <c r="M7" s="92">
        <v>170</v>
      </c>
      <c r="N7" s="93"/>
      <c r="O7" s="94" t="s">
        <v>37</v>
      </c>
      <c r="P7" s="95">
        <f>(Gr/100)^2*(15.5+Kr___0/10+Fig/2)</f>
        <v>66.47</v>
      </c>
      <c r="Q7" s="96"/>
      <c r="R7" s="97"/>
      <c r="S7" s="27"/>
      <c r="T7" s="98" t="s">
        <v>38</v>
      </c>
      <c r="U7" s="99">
        <f>ROUND(L96/5+U4/15,0)</f>
        <v>4</v>
      </c>
      <c r="V7" s="100"/>
      <c r="W7" s="101"/>
      <c r="X7" s="72"/>
      <c r="Y7" s="73"/>
      <c r="Z7" s="102"/>
      <c r="AA7" s="73"/>
      <c r="AB7" s="103"/>
      <c r="AC7" s="73"/>
      <c r="AD7" s="103"/>
      <c r="AE7" s="73"/>
      <c r="AF7" s="104"/>
      <c r="AG7" s="105"/>
      <c r="AH7" s="27"/>
      <c r="AI7" s="78"/>
      <c r="AJ7" s="79"/>
      <c r="AK7" s="79"/>
      <c r="AN7" s="106" t="s">
        <v>39</v>
      </c>
      <c r="AO7" s="38"/>
      <c r="AP7" s="38"/>
      <c r="AQ7" s="38"/>
      <c r="AR7" s="38" t="s">
        <v>40</v>
      </c>
      <c r="AS7" s="38"/>
      <c r="AT7" s="107"/>
      <c r="IT7"/>
      <c r="IU7"/>
      <c r="IV7"/>
    </row>
    <row r="8" spans="1:256" s="124" customFormat="1" ht="12.75">
      <c r="A8" s="108" t="s">
        <v>41</v>
      </c>
      <c r="B8" s="109"/>
      <c r="C8" s="110"/>
      <c r="D8" s="111" t="s">
        <v>42</v>
      </c>
      <c r="E8" s="112" t="s">
        <v>43</v>
      </c>
      <c r="F8" s="112" t="s">
        <v>44</v>
      </c>
      <c r="G8" s="111" t="s">
        <v>45</v>
      </c>
      <c r="H8" s="111" t="s">
        <v>46</v>
      </c>
      <c r="I8" s="113" t="s">
        <v>47</v>
      </c>
      <c r="J8" s="114" t="s">
        <v>41</v>
      </c>
      <c r="K8" s="115"/>
      <c r="L8" s="116"/>
      <c r="M8" s="111" t="s">
        <v>48</v>
      </c>
      <c r="N8" s="111" t="s">
        <v>43</v>
      </c>
      <c r="O8" s="111" t="s">
        <v>44</v>
      </c>
      <c r="P8" s="111" t="s">
        <v>45</v>
      </c>
      <c r="Q8" s="111" t="s">
        <v>46</v>
      </c>
      <c r="R8" s="113" t="s">
        <v>47</v>
      </c>
      <c r="S8" s="117"/>
      <c r="T8" s="108" t="s">
        <v>41</v>
      </c>
      <c r="U8" s="109"/>
      <c r="V8" s="110"/>
      <c r="W8" s="111" t="s">
        <v>49</v>
      </c>
      <c r="X8" s="111" t="s">
        <v>50</v>
      </c>
      <c r="Y8" s="118" t="s">
        <v>51</v>
      </c>
      <c r="Z8" s="117"/>
      <c r="AA8" s="108" t="s">
        <v>41</v>
      </c>
      <c r="AB8" s="109"/>
      <c r="AC8" s="110"/>
      <c r="AD8" s="111" t="s">
        <v>49</v>
      </c>
      <c r="AE8" s="111" t="s">
        <v>50</v>
      </c>
      <c r="AF8" s="118" t="s">
        <v>51</v>
      </c>
      <c r="AG8" s="119"/>
      <c r="AH8" s="120"/>
      <c r="AI8" s="121" t="s">
        <v>52</v>
      </c>
      <c r="AJ8" s="122"/>
      <c r="AK8" s="123"/>
      <c r="AN8" s="125" t="s">
        <v>23</v>
      </c>
      <c r="AO8" s="125" t="s">
        <v>28</v>
      </c>
      <c r="AP8" s="125" t="s">
        <v>34</v>
      </c>
      <c r="AQ8" s="125"/>
      <c r="AR8" s="125" t="s">
        <v>23</v>
      </c>
      <c r="AS8" s="125" t="s">
        <v>28</v>
      </c>
      <c r="AT8" s="125" t="s">
        <v>34</v>
      </c>
      <c r="IT8"/>
      <c r="IU8"/>
      <c r="IV8"/>
    </row>
    <row r="9" spans="1:256" s="145" customFormat="1" ht="9" customHeight="1">
      <c r="A9" s="126" t="s">
        <v>53</v>
      </c>
      <c r="B9" s="127"/>
      <c r="C9" s="127"/>
      <c r="D9" s="128"/>
      <c r="E9" s="129" t="s">
        <v>54</v>
      </c>
      <c r="F9" s="129" t="s">
        <v>54</v>
      </c>
      <c r="G9" s="128" t="s">
        <v>54</v>
      </c>
      <c r="H9" s="128"/>
      <c r="I9" s="130"/>
      <c r="J9" s="131" t="s">
        <v>55</v>
      </c>
      <c r="K9" s="132"/>
      <c r="L9" s="133"/>
      <c r="M9" s="134" t="s">
        <v>56</v>
      </c>
      <c r="N9" s="134">
        <v>40</v>
      </c>
      <c r="O9" s="134">
        <v>16</v>
      </c>
      <c r="P9" s="135">
        <f>Kom</f>
        <v>75</v>
      </c>
      <c r="Q9" s="135">
        <f>IF(P9&lt;50,450-6*P9,IF(P9&lt;100,250-2*P9,75-P9/4))</f>
        <v>100</v>
      </c>
      <c r="R9" s="136">
        <f>Q9*O9/100</f>
        <v>16</v>
      </c>
      <c r="S9" s="120"/>
      <c r="T9" s="126" t="s">
        <v>53</v>
      </c>
      <c r="U9" s="127"/>
      <c r="V9" s="127"/>
      <c r="W9" s="128"/>
      <c r="X9" s="128"/>
      <c r="Y9" s="130"/>
      <c r="Z9" s="120"/>
      <c r="AA9" s="131" t="s">
        <v>55</v>
      </c>
      <c r="AB9" s="137"/>
      <c r="AC9" s="138"/>
      <c r="AD9" s="139"/>
      <c r="AE9" s="140">
        <f>IF(AD9&gt;0,INDEX(lerntab___0,AD9,1),0)</f>
        <v>0</v>
      </c>
      <c r="AF9" s="141">
        <f>ROUND(AE9*R9,0)</f>
        <v>0</v>
      </c>
      <c r="AG9" s="142"/>
      <c r="AH9" s="120"/>
      <c r="AI9" s="121" t="s">
        <v>41</v>
      </c>
      <c r="AJ9" s="143" t="s">
        <v>49</v>
      </c>
      <c r="AK9" s="144" t="s">
        <v>51</v>
      </c>
      <c r="AN9" s="146">
        <f>IF(LEFT(D9,1)="A",Y9,0)</f>
        <v>0</v>
      </c>
      <c r="AO9" s="146">
        <f>IF(LEFT(D9,1)="K",Y9,0)</f>
        <v>0</v>
      </c>
      <c r="AP9" s="146">
        <f>IF(LEFT(D9,1)="M",Y9,0)</f>
        <v>0</v>
      </c>
      <c r="AQ9" s="146"/>
      <c r="AR9" s="146">
        <f>IF(LEFT(M9,1)="A",AF9,0)</f>
        <v>0</v>
      </c>
      <c r="AS9" s="146">
        <f>IF(LEFT(M9,1)="K",AF9,0)</f>
        <v>0</v>
      </c>
      <c r="AT9" s="146">
        <f>IF(LEFT(M9,1)="M",AF9,0)</f>
        <v>0</v>
      </c>
      <c r="IT9"/>
      <c r="IU9"/>
      <c r="IV9"/>
    </row>
    <row r="10" spans="1:256" s="155" customFormat="1" ht="9" customHeight="1">
      <c r="A10" s="147" t="s">
        <v>57</v>
      </c>
      <c r="B10" s="148"/>
      <c r="C10" s="149"/>
      <c r="D10" s="134" t="s">
        <v>58</v>
      </c>
      <c r="E10" s="150">
        <v>40</v>
      </c>
      <c r="F10" s="150">
        <v>25</v>
      </c>
      <c r="G10" s="151">
        <f>(2*Kom+3*Int)/5</f>
        <v>75</v>
      </c>
      <c r="H10" s="135">
        <f>IF(G10&lt;50,450-6*G10,IF(G10&lt;100,250-2*G10,75-G10/4))</f>
        <v>100</v>
      </c>
      <c r="I10" s="136">
        <f>H10*F10/100</f>
        <v>25</v>
      </c>
      <c r="J10" s="131" t="s">
        <v>59</v>
      </c>
      <c r="K10" s="132"/>
      <c r="L10" s="133"/>
      <c r="M10" s="134" t="s">
        <v>56</v>
      </c>
      <c r="N10" s="134">
        <v>40</v>
      </c>
      <c r="O10" s="134">
        <v>90</v>
      </c>
      <c r="P10" s="135">
        <f>Kom</f>
        <v>75</v>
      </c>
      <c r="Q10" s="135">
        <f>IF(P10&lt;50,450-6*P10,IF(P10&lt;100,250-2*P10,75-P10/4))</f>
        <v>100</v>
      </c>
      <c r="R10" s="136">
        <f>Q10*O10/100</f>
        <v>90</v>
      </c>
      <c r="S10" s="120"/>
      <c r="T10" s="147" t="s">
        <v>57</v>
      </c>
      <c r="U10" s="137"/>
      <c r="V10" s="138"/>
      <c r="W10" s="139"/>
      <c r="X10" s="140">
        <f>IF(W10&gt;0,INDEX(lerntab___0,W10,1),0)</f>
        <v>0</v>
      </c>
      <c r="Y10" s="141">
        <f>ROUND(X10*I10,0)</f>
        <v>0</v>
      </c>
      <c r="Z10" s="120"/>
      <c r="AA10" s="131" t="s">
        <v>59</v>
      </c>
      <c r="AB10" s="137"/>
      <c r="AC10" s="138"/>
      <c r="AD10" s="139"/>
      <c r="AE10" s="140">
        <f>IF(AD10&gt;0,INDEX(lerntab___0,AD10,1),0)</f>
        <v>0</v>
      </c>
      <c r="AF10" s="141">
        <f>ROUND(AE10*R10,0)</f>
        <v>0</v>
      </c>
      <c r="AG10" s="142"/>
      <c r="AH10" s="120"/>
      <c r="AI10" s="152" t="s">
        <v>60</v>
      </c>
      <c r="AJ10" s="153">
        <f>M108</f>
        <v>44</v>
      </c>
      <c r="AK10" s="154">
        <f>ROUND(INDEX(lerntab___0,AJ10,1)*I10,0)</f>
        <v>6225</v>
      </c>
      <c r="AN10" s="146">
        <f>IF(LEFT(D10,1)="A",Y10,0)</f>
        <v>0</v>
      </c>
      <c r="AO10" s="146">
        <f>IF(LEFT(D10,1)="K",Y10,0)</f>
        <v>0</v>
      </c>
      <c r="AP10" s="146">
        <f>IF(LEFT(D10,1)="M",Y10,0)</f>
        <v>0</v>
      </c>
      <c r="AQ10" s="146"/>
      <c r="AR10" s="146">
        <f>IF(LEFT(M10,1)="A",AF10,0)</f>
        <v>0</v>
      </c>
      <c r="AS10" s="146">
        <f>IF(LEFT(M10,1)="K",AF10,0)</f>
        <v>0</v>
      </c>
      <c r="AT10" s="146">
        <f>IF(LEFT(M10,1)="M",AF10,0)</f>
        <v>0</v>
      </c>
      <c r="IT10"/>
      <c r="IU10"/>
      <c r="IV10"/>
    </row>
    <row r="11" spans="1:256" s="155" customFormat="1" ht="9" customHeight="1">
      <c r="A11" s="147" t="s">
        <v>61</v>
      </c>
      <c r="B11" s="148"/>
      <c r="C11" s="149"/>
      <c r="D11" s="134" t="s">
        <v>62</v>
      </c>
      <c r="E11" s="150">
        <v>40</v>
      </c>
      <c r="F11" s="150">
        <v>50</v>
      </c>
      <c r="G11" s="151">
        <f>(4*Kom+1*Int)/5</f>
        <v>75</v>
      </c>
      <c r="H11" s="135">
        <f>IF(G11&lt;50,450-6*G11,IF(G11&lt;100,250-2*G11,75-G11/4))</f>
        <v>100</v>
      </c>
      <c r="I11" s="136">
        <f>H11*F11/100</f>
        <v>50</v>
      </c>
      <c r="J11" s="131" t="s">
        <v>63</v>
      </c>
      <c r="K11" s="132"/>
      <c r="L11" s="133"/>
      <c r="M11" s="134" t="s">
        <v>56</v>
      </c>
      <c r="N11" s="134">
        <v>40</v>
      </c>
      <c r="O11" s="134">
        <v>25</v>
      </c>
      <c r="P11" s="135">
        <f>Kom</f>
        <v>75</v>
      </c>
      <c r="Q11" s="135">
        <f>IF(P11&lt;50,450-6*P11,IF(P11&lt;100,250-2*P11,75-P11/4))</f>
        <v>100</v>
      </c>
      <c r="R11" s="136">
        <f>Q11*O11/100</f>
        <v>25</v>
      </c>
      <c r="S11" s="120"/>
      <c r="T11" s="147" t="s">
        <v>61</v>
      </c>
      <c r="U11" s="137"/>
      <c r="V11" s="138"/>
      <c r="W11" s="139"/>
      <c r="X11" s="140">
        <f>IF(W11&gt;0,INDEX(lerntab___0,W11,1),0)</f>
        <v>0</v>
      </c>
      <c r="Y11" s="141">
        <f>ROUND(X11*I11,0)</f>
        <v>0</v>
      </c>
      <c r="Z11" s="120"/>
      <c r="AA11" s="131" t="s">
        <v>63</v>
      </c>
      <c r="AB11" s="137"/>
      <c r="AC11" s="138"/>
      <c r="AD11" s="139"/>
      <c r="AE11" s="140">
        <f>IF(AD11&gt;0,INDEX(lerntab___0,AD11,1),0)</f>
        <v>0</v>
      </c>
      <c r="AF11" s="141">
        <f>ROUND(AE11*R11,0)</f>
        <v>0</v>
      </c>
      <c r="AG11" s="142"/>
      <c r="AH11" s="120"/>
      <c r="AI11" s="152" t="s">
        <v>64</v>
      </c>
      <c r="AJ11" s="153">
        <f>R108</f>
        <v>28</v>
      </c>
      <c r="AK11" s="156">
        <f>ROUND(INDEX(lerntab___0,AJ11,1)*I11,0)</f>
        <v>3650</v>
      </c>
      <c r="AN11" s="146">
        <f>IF(LEFT(D11,1)="A",Y11,0)</f>
        <v>0</v>
      </c>
      <c r="AO11" s="146">
        <f>IF(LEFT(D11,1)="K",Y11,0)</f>
        <v>0</v>
      </c>
      <c r="AP11" s="146">
        <f>IF(LEFT(D11,1)="M",Y11,0)</f>
        <v>0</v>
      </c>
      <c r="AQ11" s="146"/>
      <c r="AR11" s="146">
        <f>IF(LEFT(M11,1)="A",AF11,0)</f>
        <v>0</v>
      </c>
      <c r="AS11" s="146">
        <f>IF(LEFT(M11,1)="K",AF11,0)</f>
        <v>0</v>
      </c>
      <c r="AT11" s="146">
        <f>IF(LEFT(M11,1)="M",AF11,0)</f>
        <v>0</v>
      </c>
      <c r="IT11"/>
      <c r="IU11"/>
      <c r="IV11"/>
    </row>
    <row r="12" spans="1:256" s="155" customFormat="1" ht="9" customHeight="1">
      <c r="A12" s="147" t="s">
        <v>65</v>
      </c>
      <c r="B12" s="148"/>
      <c r="C12" s="149"/>
      <c r="D12" s="134" t="s">
        <v>66</v>
      </c>
      <c r="E12" s="150">
        <v>40</v>
      </c>
      <c r="F12" s="150">
        <v>30</v>
      </c>
      <c r="G12" s="151">
        <f>Kom</f>
        <v>75</v>
      </c>
      <c r="H12" s="135">
        <f>IF(G12&lt;50,450-6*G12,IF(G12&lt;100,250-2*G12,75-G12/4))</f>
        <v>100</v>
      </c>
      <c r="I12" s="136">
        <f>H12*F12/100</f>
        <v>30</v>
      </c>
      <c r="J12" s="131" t="s">
        <v>67</v>
      </c>
      <c r="K12" s="132"/>
      <c r="L12" s="133"/>
      <c r="M12" s="134" t="s">
        <v>56</v>
      </c>
      <c r="N12" s="134">
        <v>40</v>
      </c>
      <c r="O12" s="134">
        <v>60</v>
      </c>
      <c r="P12" s="135">
        <f>Kom</f>
        <v>75</v>
      </c>
      <c r="Q12" s="135">
        <f>IF(P12&lt;50,450-6*P12,IF(P12&lt;100,250-2*P12,75-P12/4))</f>
        <v>100</v>
      </c>
      <c r="R12" s="136">
        <f>Q12*O12/100</f>
        <v>60</v>
      </c>
      <c r="S12" s="120"/>
      <c r="T12" s="147" t="s">
        <v>65</v>
      </c>
      <c r="U12" s="137"/>
      <c r="V12" s="138"/>
      <c r="W12" s="139"/>
      <c r="X12" s="140">
        <f>IF(W12&gt;0,INDEX(lerntab___0,W12,1),0)</f>
        <v>0</v>
      </c>
      <c r="Y12" s="141">
        <f>ROUND(X12*I12,0)</f>
        <v>0</v>
      </c>
      <c r="Z12" s="120"/>
      <c r="AA12" s="131" t="s">
        <v>68</v>
      </c>
      <c r="AB12" s="137"/>
      <c r="AC12" s="138"/>
      <c r="AD12" s="139"/>
      <c r="AE12" s="140">
        <f>IF(AD12&gt;0,INDEX(lerntab___0,AD12,1),0)</f>
        <v>0</v>
      </c>
      <c r="AF12" s="141">
        <f>ROUND(AE12*R12,0)</f>
        <v>0</v>
      </c>
      <c r="AG12" s="142"/>
      <c r="AH12" s="120"/>
      <c r="AI12" s="152" t="s">
        <v>69</v>
      </c>
      <c r="AJ12" s="153">
        <f>M109</f>
        <v>20</v>
      </c>
      <c r="AK12" s="156">
        <f>ROUND(INDEX(lerntab___0,AJ12,1)*I$10,0)</f>
        <v>875</v>
      </c>
      <c r="AN12" s="146">
        <f>IF(LEFT(D12,1)="A",Y12,0)</f>
        <v>0</v>
      </c>
      <c r="AO12" s="146">
        <f>IF(LEFT(D12,1)="K",Y12,0)</f>
        <v>0</v>
      </c>
      <c r="AP12" s="146">
        <f>IF(LEFT(D12,1)="M",Y12,0)</f>
        <v>0</v>
      </c>
      <c r="AQ12" s="146"/>
      <c r="AR12" s="146">
        <f>IF(LEFT(M12,1)="A",AF12,0)</f>
        <v>0</v>
      </c>
      <c r="AS12" s="146">
        <f>IF(LEFT(M12,1)="K",AF12,0)</f>
        <v>0</v>
      </c>
      <c r="AT12" s="146">
        <f>IF(LEFT(M12,1)="M",AF12,0)</f>
        <v>0</v>
      </c>
      <c r="IT12"/>
      <c r="IU12"/>
      <c r="IV12"/>
    </row>
    <row r="13" spans="1:256" s="145" customFormat="1" ht="9" customHeight="1">
      <c r="A13" s="147" t="s">
        <v>70</v>
      </c>
      <c r="B13" s="148"/>
      <c r="C13" s="149"/>
      <c r="D13" s="134" t="s">
        <v>71</v>
      </c>
      <c r="E13" s="150">
        <v>40</v>
      </c>
      <c r="F13" s="150">
        <v>30</v>
      </c>
      <c r="G13" s="151">
        <f>Kom</f>
        <v>75</v>
      </c>
      <c r="H13" s="135">
        <f>IF(G13&lt;50,450-6*G13,IF(G13&lt;100,250-2*G13,75-G13/4))</f>
        <v>100</v>
      </c>
      <c r="I13" s="136">
        <f>H13*F13/100</f>
        <v>30</v>
      </c>
      <c r="J13" s="131" t="s">
        <v>72</v>
      </c>
      <c r="K13" s="132"/>
      <c r="L13" s="133"/>
      <c r="M13" s="134" t="s">
        <v>56</v>
      </c>
      <c r="N13" s="134">
        <v>40</v>
      </c>
      <c r="O13" s="134">
        <v>32</v>
      </c>
      <c r="P13" s="135">
        <f>Kom</f>
        <v>75</v>
      </c>
      <c r="Q13" s="135">
        <f>IF(P13&lt;50,450-6*P13,IF(P13&lt;100,250-2*P13,75-P13/4))</f>
        <v>100</v>
      </c>
      <c r="R13" s="136">
        <f>Q13*O13/100</f>
        <v>32</v>
      </c>
      <c r="S13" s="120"/>
      <c r="T13" s="147" t="s">
        <v>70</v>
      </c>
      <c r="U13" s="137"/>
      <c r="V13" s="138"/>
      <c r="W13" s="139"/>
      <c r="X13" s="140">
        <f>IF(W13&gt;0,INDEX(lerntab___0,W13,1),0)</f>
        <v>0</v>
      </c>
      <c r="Y13" s="141">
        <f>ROUND(X13*I13,0)</f>
        <v>0</v>
      </c>
      <c r="Z13" s="120"/>
      <c r="AA13" s="131" t="s">
        <v>72</v>
      </c>
      <c r="AB13" s="137"/>
      <c r="AC13" s="138"/>
      <c r="AD13" s="139"/>
      <c r="AE13" s="140">
        <f>IF(AD13&gt;0,INDEX(lerntab___0,AD13,1),0)</f>
        <v>0</v>
      </c>
      <c r="AF13" s="141">
        <f>ROUND(AE13*R13,0)</f>
        <v>0</v>
      </c>
      <c r="AG13" s="142"/>
      <c r="AH13" s="120"/>
      <c r="AI13" s="152" t="s">
        <v>73</v>
      </c>
      <c r="AJ13" s="153">
        <f>R109</f>
        <v>19</v>
      </c>
      <c r="AK13" s="157">
        <f>ROUND(INDEX(lerntab___0,AJ13,1)*I$11,0)</f>
        <v>1600</v>
      </c>
      <c r="AN13" s="146">
        <f>IF(LEFT(D13,1)="A",Y13,0)</f>
        <v>0</v>
      </c>
      <c r="AO13" s="146">
        <f>IF(LEFT(D13,1)="K",Y13,0)</f>
        <v>0</v>
      </c>
      <c r="AP13" s="146">
        <f>IF(LEFT(D13,1)="M",Y13,0)</f>
        <v>0</v>
      </c>
      <c r="AQ13" s="146"/>
      <c r="AR13" s="146">
        <f>IF(LEFT(M13,1)="A",AF13,0)</f>
        <v>0</v>
      </c>
      <c r="AS13" s="146">
        <f>IF(LEFT(M13,1)="K",AF13,0)</f>
        <v>0</v>
      </c>
      <c r="AT13" s="146">
        <f>IF(LEFT(M13,1)="M",AF13,0)</f>
        <v>0</v>
      </c>
      <c r="IT13"/>
      <c r="IU13"/>
      <c r="IV13"/>
    </row>
    <row r="14" spans="1:256" s="155" customFormat="1" ht="9" customHeight="1">
      <c r="A14" s="147" t="s">
        <v>74</v>
      </c>
      <c r="B14" s="148"/>
      <c r="C14" s="149"/>
      <c r="D14" s="134" t="s">
        <v>75</v>
      </c>
      <c r="E14" s="150">
        <v>40</v>
      </c>
      <c r="F14" s="150">
        <v>50</v>
      </c>
      <c r="G14" s="151">
        <f>Kom</f>
        <v>75</v>
      </c>
      <c r="H14" s="135">
        <f>IF(G14&lt;50,450-6*G14,IF(G14&lt;100,250-2*G14,75-G14/4))</f>
        <v>100</v>
      </c>
      <c r="I14" s="136">
        <f>H14*F14/100</f>
        <v>50</v>
      </c>
      <c r="J14" s="131" t="s">
        <v>76</v>
      </c>
      <c r="K14" s="132"/>
      <c r="L14" s="133"/>
      <c r="M14" s="134" t="s">
        <v>56</v>
      </c>
      <c r="N14" s="134">
        <v>40</v>
      </c>
      <c r="O14" s="134">
        <v>16</v>
      </c>
      <c r="P14" s="135">
        <f>Kom</f>
        <v>75</v>
      </c>
      <c r="Q14" s="135">
        <f>IF(P14&lt;50,450-6*P14,IF(P14&lt;100,250-2*P14,75-P14/4))</f>
        <v>100</v>
      </c>
      <c r="R14" s="136">
        <f>Q14*O14/100</f>
        <v>16</v>
      </c>
      <c r="S14" s="120"/>
      <c r="T14" s="147" t="s">
        <v>74</v>
      </c>
      <c r="U14" s="137"/>
      <c r="V14" s="138"/>
      <c r="W14" s="139"/>
      <c r="X14" s="140">
        <f>IF(W14&gt;0,INDEX(lerntab___0,W14,1),0)</f>
        <v>0</v>
      </c>
      <c r="Y14" s="141">
        <f>ROUND(X14*I14,0)</f>
        <v>0</v>
      </c>
      <c r="Z14" s="120"/>
      <c r="AA14" s="131" t="s">
        <v>76</v>
      </c>
      <c r="AB14" s="137"/>
      <c r="AC14" s="138"/>
      <c r="AD14" s="139"/>
      <c r="AE14" s="140">
        <f>IF(AD14&gt;0,INDEX(lerntab___0,AD14,1),0)</f>
        <v>0</v>
      </c>
      <c r="AF14" s="141">
        <f>ROUND(AE14*R14,0)</f>
        <v>0</v>
      </c>
      <c r="AG14" s="142"/>
      <c r="AH14" s="120"/>
      <c r="AI14" s="152" t="s">
        <v>77</v>
      </c>
      <c r="AJ14" s="153">
        <f>M110</f>
        <v>33</v>
      </c>
      <c r="AK14" s="156">
        <f>ROUND(INDEX(lerntab___0,AJ14,1)*I$10,0)</f>
        <v>2725</v>
      </c>
      <c r="AN14" s="146">
        <f>IF(LEFT(D14,1)="A",Y14,0)</f>
        <v>0</v>
      </c>
      <c r="AO14" s="146">
        <f>IF(LEFT(D14,1)="K",Y14,0)</f>
        <v>0</v>
      </c>
      <c r="AP14" s="146">
        <f>IF(LEFT(D14,1)="M",Y14,0)</f>
        <v>0</v>
      </c>
      <c r="AQ14" s="146"/>
      <c r="AR14" s="146">
        <f>IF(LEFT(M14,1)="A",AF14,0)</f>
        <v>0</v>
      </c>
      <c r="AS14" s="146">
        <f>IF(LEFT(M14,1)="K",AF14,0)</f>
        <v>0</v>
      </c>
      <c r="AT14" s="146">
        <f>IF(LEFT(M14,1)="M",AF14,0)</f>
        <v>0</v>
      </c>
      <c r="IT14"/>
      <c r="IU14"/>
      <c r="IV14"/>
    </row>
    <row r="15" spans="1:256" s="155" customFormat="1" ht="9" customHeight="1">
      <c r="A15" s="158" t="s">
        <v>78</v>
      </c>
      <c r="B15" s="159"/>
      <c r="C15" s="159"/>
      <c r="D15" s="160"/>
      <c r="E15" s="161"/>
      <c r="F15" s="161"/>
      <c r="G15" s="162"/>
      <c r="H15" s="162"/>
      <c r="I15" s="163"/>
      <c r="J15" s="131" t="s">
        <v>79</v>
      </c>
      <c r="K15" s="132"/>
      <c r="L15" s="133"/>
      <c r="M15" s="134" t="s">
        <v>56</v>
      </c>
      <c r="N15" s="134">
        <v>40</v>
      </c>
      <c r="O15" s="134">
        <v>36</v>
      </c>
      <c r="P15" s="135">
        <f>Kom</f>
        <v>75</v>
      </c>
      <c r="Q15" s="135">
        <f>IF(P15&lt;50,450-6*P15,IF(P15&lt;100,250-2*P15,75-P15/4))</f>
        <v>100</v>
      </c>
      <c r="R15" s="136">
        <f>Q15*O15/100</f>
        <v>36</v>
      </c>
      <c r="S15" s="120"/>
      <c r="T15" s="158" t="s">
        <v>78</v>
      </c>
      <c r="U15" s="159"/>
      <c r="V15" s="159"/>
      <c r="W15" s="164"/>
      <c r="X15" s="160"/>
      <c r="Y15" s="165"/>
      <c r="Z15" s="120"/>
      <c r="AA15" s="131" t="s">
        <v>79</v>
      </c>
      <c r="AB15" s="137"/>
      <c r="AC15" s="138"/>
      <c r="AD15" s="139"/>
      <c r="AE15" s="140">
        <f>IF(AD15&gt;0,INDEX(lerntab___0,AD15,1),0)</f>
        <v>0</v>
      </c>
      <c r="AF15" s="141">
        <f>ROUND(AE15*R15,0)</f>
        <v>0</v>
      </c>
      <c r="AG15" s="142"/>
      <c r="AH15" s="120"/>
      <c r="AI15" s="152" t="s">
        <v>80</v>
      </c>
      <c r="AJ15" s="153">
        <f>R110</f>
        <v>15</v>
      </c>
      <c r="AK15" s="157">
        <f>ROUND(INDEX(lerntab___0,AJ15,1)*I$11,0)</f>
        <v>1000</v>
      </c>
      <c r="AN15" s="146">
        <f>IF(LEFT(D15,1)="A",Y15,0)</f>
        <v>0</v>
      </c>
      <c r="AO15" s="146">
        <f>IF(LEFT(D15,1)="K",Y15,0)</f>
        <v>0</v>
      </c>
      <c r="AP15" s="146">
        <f>IF(LEFT(D15,1)="M",Y15,0)</f>
        <v>0</v>
      </c>
      <c r="AQ15" s="146"/>
      <c r="AR15" s="146">
        <f>IF(LEFT(M15,1)="A",AF15,0)</f>
        <v>0</v>
      </c>
      <c r="AS15" s="146">
        <f>IF(LEFT(M15,1)="K",AF15,0)</f>
        <v>0</v>
      </c>
      <c r="AT15" s="146">
        <f>IF(LEFT(M15,1)="M",AF15,0)</f>
        <v>0</v>
      </c>
      <c r="IT15"/>
      <c r="IU15"/>
      <c r="IV15"/>
    </row>
    <row r="16" spans="1:256" s="155" customFormat="1" ht="9" customHeight="1">
      <c r="A16" s="147" t="s">
        <v>81</v>
      </c>
      <c r="B16" s="148"/>
      <c r="C16" s="149"/>
      <c r="D16" s="134" t="s">
        <v>75</v>
      </c>
      <c r="E16" s="150">
        <v>10</v>
      </c>
      <c r="F16" s="150">
        <v>12</v>
      </c>
      <c r="G16" s="151">
        <f>(3*Ges+2*Int)/5</f>
        <v>75</v>
      </c>
      <c r="H16" s="135">
        <f>IF(G16&lt;50,450-6*G16,IF(G16&lt;100,250-2*G16,75-G16/4))</f>
        <v>100</v>
      </c>
      <c r="I16" s="136">
        <f>H16*F16/100</f>
        <v>12</v>
      </c>
      <c r="J16" s="131" t="s">
        <v>82</v>
      </c>
      <c r="K16" s="132"/>
      <c r="L16" s="133"/>
      <c r="M16" s="134" t="s">
        <v>56</v>
      </c>
      <c r="N16" s="134">
        <v>40</v>
      </c>
      <c r="O16" s="134">
        <v>12</v>
      </c>
      <c r="P16" s="135">
        <f>Kom</f>
        <v>75</v>
      </c>
      <c r="Q16" s="135">
        <f>IF(P16&lt;50,450-6*P16,IF(P16&lt;100,250-2*P16,75-P16/4))</f>
        <v>100</v>
      </c>
      <c r="R16" s="136">
        <f>Q16*O16/100</f>
        <v>12</v>
      </c>
      <c r="S16" s="120"/>
      <c r="T16" s="147" t="s">
        <v>81</v>
      </c>
      <c r="U16" s="137"/>
      <c r="V16" s="138"/>
      <c r="W16" s="139"/>
      <c r="X16" s="140">
        <f>IF(W16&gt;0,INDEX(lerntab___0,W16,1),0)</f>
        <v>0</v>
      </c>
      <c r="Y16" s="141">
        <f>ROUND(X16*I16,0)</f>
        <v>0</v>
      </c>
      <c r="Z16" s="120"/>
      <c r="AA16" s="131" t="s">
        <v>82</v>
      </c>
      <c r="AB16" s="137"/>
      <c r="AC16" s="138"/>
      <c r="AD16" s="139"/>
      <c r="AE16" s="140">
        <f>IF(AD16&gt;0,INDEX(lerntab___0,AD16,1),0)</f>
        <v>0</v>
      </c>
      <c r="AF16" s="141">
        <f>ROUND(AE16*R16,0)</f>
        <v>0</v>
      </c>
      <c r="AG16" s="142"/>
      <c r="AH16" s="120"/>
      <c r="AI16" s="166"/>
      <c r="AJ16" s="139"/>
      <c r="AK16" s="157"/>
      <c r="AN16" s="146">
        <f>IF(LEFT(D16,1)="A",Y16,0)</f>
        <v>0</v>
      </c>
      <c r="AO16" s="146">
        <f>IF(LEFT(D16,1)="K",Y16,0)</f>
        <v>0</v>
      </c>
      <c r="AP16" s="146">
        <f>IF(LEFT(D16,1)="M",Y16,0)</f>
        <v>0</v>
      </c>
      <c r="AQ16" s="146"/>
      <c r="AR16" s="146">
        <f>IF(LEFT(M16,1)="A",AF16,0)</f>
        <v>0</v>
      </c>
      <c r="AS16" s="146">
        <f>IF(LEFT(M16,1)="K",AF16,0)</f>
        <v>0</v>
      </c>
      <c r="AT16" s="146">
        <f>IF(LEFT(M16,1)="M",AF16,0)</f>
        <v>0</v>
      </c>
      <c r="IT16"/>
      <c r="IU16"/>
      <c r="IV16"/>
    </row>
    <row r="17" spans="1:256" s="155" customFormat="1" ht="9" customHeight="1">
      <c r="A17" s="167" t="s">
        <v>83</v>
      </c>
      <c r="B17" s="168"/>
      <c r="C17" s="169"/>
      <c r="D17" s="170" t="s">
        <v>75</v>
      </c>
      <c r="E17" s="171">
        <v>10</v>
      </c>
      <c r="F17" s="171">
        <v>3</v>
      </c>
      <c r="G17" s="151">
        <f>(4*Ges+Krr___0)/5</f>
        <v>75</v>
      </c>
      <c r="H17" s="135">
        <f>IF(G17&lt;50,450-6*G17,IF(G17&lt;100,250-2*G17,75-G17/4))</f>
        <v>100</v>
      </c>
      <c r="I17" s="136">
        <f>H17*F17/100</f>
        <v>3</v>
      </c>
      <c r="J17" s="131" t="s">
        <v>84</v>
      </c>
      <c r="K17" s="132"/>
      <c r="L17" s="133"/>
      <c r="M17" s="134" t="s">
        <v>56</v>
      </c>
      <c r="N17" s="134">
        <v>40</v>
      </c>
      <c r="O17" s="134">
        <v>70</v>
      </c>
      <c r="P17" s="135">
        <f>Kom</f>
        <v>75</v>
      </c>
      <c r="Q17" s="135">
        <f>IF(P17&lt;50,450-6*P17,IF(P17&lt;100,250-2*P17,75-P17/4))</f>
        <v>100</v>
      </c>
      <c r="R17" s="136">
        <f>Q17*O17/100</f>
        <v>70</v>
      </c>
      <c r="S17" s="120"/>
      <c r="T17" s="167" t="s">
        <v>83</v>
      </c>
      <c r="U17" s="137"/>
      <c r="V17" s="138"/>
      <c r="W17" s="139"/>
      <c r="X17" s="140">
        <f>IF(W17&gt;0,INDEX(lerntab___0,W17,1),0)</f>
        <v>0</v>
      </c>
      <c r="Y17" s="141">
        <f>ROUND(X17*I17,0)</f>
        <v>0</v>
      </c>
      <c r="Z17" s="120"/>
      <c r="AA17" s="131" t="s">
        <v>84</v>
      </c>
      <c r="AB17" s="137"/>
      <c r="AC17" s="138"/>
      <c r="AD17" s="139"/>
      <c r="AE17" s="140">
        <f>IF(AD17&gt;0,INDEX(lerntab___0,AD17,1),0)</f>
        <v>0</v>
      </c>
      <c r="AF17" s="141">
        <f>ROUND(AE17*R17,0)</f>
        <v>0</v>
      </c>
      <c r="AG17" s="142"/>
      <c r="AH17" s="120"/>
      <c r="AI17" s="166"/>
      <c r="AJ17" s="139"/>
      <c r="AK17" s="157"/>
      <c r="AN17" s="146">
        <f>IF(LEFT(D17,1)="A",Y17,0)</f>
        <v>0</v>
      </c>
      <c r="AO17" s="146">
        <f>IF(LEFT(D17,1)="K",Y17,0)</f>
        <v>0</v>
      </c>
      <c r="AP17" s="146">
        <f>IF(LEFT(D17,1)="M",Y17,0)</f>
        <v>0</v>
      </c>
      <c r="AQ17" s="146"/>
      <c r="AR17" s="146">
        <f>IF(LEFT(M17,1)="A",AF17,0)</f>
        <v>0</v>
      </c>
      <c r="AS17" s="146">
        <f>IF(LEFT(M17,1)="K",AF17,0)</f>
        <v>0</v>
      </c>
      <c r="AT17" s="146">
        <f>IF(LEFT(M17,1)="M",AF17,0)</f>
        <v>0</v>
      </c>
      <c r="IT17"/>
      <c r="IU17"/>
      <c r="IV17"/>
    </row>
    <row r="18" spans="1:256" s="155" customFormat="1" ht="9" customHeight="1">
      <c r="A18" s="147" t="s">
        <v>85</v>
      </c>
      <c r="B18" s="148"/>
      <c r="C18" s="149"/>
      <c r="D18" s="134" t="s">
        <v>75</v>
      </c>
      <c r="E18" s="150">
        <v>5</v>
      </c>
      <c r="F18" s="150">
        <v>120</v>
      </c>
      <c r="G18" s="135">
        <f>(2*Ges+3*Kom)/5</f>
        <v>75</v>
      </c>
      <c r="H18" s="135">
        <f>IF(G18&lt;50,450-6*G18,IF(G18&lt;100,250-2*G18,75-G18/4))</f>
        <v>100</v>
      </c>
      <c r="I18" s="136">
        <f>H18*F18/100</f>
        <v>120</v>
      </c>
      <c r="J18" s="131" t="s">
        <v>86</v>
      </c>
      <c r="K18" s="132"/>
      <c r="L18" s="133"/>
      <c r="M18" s="134" t="s">
        <v>56</v>
      </c>
      <c r="N18" s="134">
        <v>40</v>
      </c>
      <c r="O18" s="134">
        <v>55</v>
      </c>
      <c r="P18" s="135">
        <f>Kom</f>
        <v>75</v>
      </c>
      <c r="Q18" s="135">
        <f>IF(P18&lt;50,450-6*P18,IF(P18&lt;100,250-2*P18,75-P18/4))</f>
        <v>100</v>
      </c>
      <c r="R18" s="136">
        <f>Q18*O18/100</f>
        <v>55</v>
      </c>
      <c r="S18" s="120"/>
      <c r="T18" s="147" t="s">
        <v>85</v>
      </c>
      <c r="U18" s="137"/>
      <c r="V18" s="138"/>
      <c r="W18" s="139"/>
      <c r="X18" s="140">
        <f>IF(W18&gt;0,INDEX(lerntab___0,W18,1),0)</f>
        <v>0</v>
      </c>
      <c r="Y18" s="141">
        <f>ROUND(X18*I18,0)</f>
        <v>0</v>
      </c>
      <c r="Z18" s="120"/>
      <c r="AA18" s="131" t="s">
        <v>86</v>
      </c>
      <c r="AB18" s="137"/>
      <c r="AC18" s="138"/>
      <c r="AD18" s="139"/>
      <c r="AE18" s="140">
        <f>IF(AD18&gt;0,INDEX(lerntab___0,AD18,1),0)</f>
        <v>0</v>
      </c>
      <c r="AF18" s="141">
        <f>ROUND(AE18*R18,0)</f>
        <v>0</v>
      </c>
      <c r="AG18" s="142"/>
      <c r="AH18" s="120"/>
      <c r="AI18" s="166"/>
      <c r="AJ18" s="139"/>
      <c r="AK18" s="157"/>
      <c r="AN18" s="146">
        <f>IF(LEFT(D18,1)="A",Y18,0)</f>
        <v>0</v>
      </c>
      <c r="AO18" s="146">
        <f>IF(LEFT(D18,1)="K",Y18,0)</f>
        <v>0</v>
      </c>
      <c r="AP18" s="146">
        <f>IF(LEFT(D18,1)="M",Y18,0)</f>
        <v>0</v>
      </c>
      <c r="AQ18" s="146"/>
      <c r="AR18" s="146">
        <f>IF(LEFT(M18,1)="A",AF18,0)</f>
        <v>0</v>
      </c>
      <c r="AS18" s="146">
        <f>IF(LEFT(M18,1)="K",AF18,0)</f>
        <v>0</v>
      </c>
      <c r="AT18" s="146">
        <f>IF(LEFT(M18,1)="M",AF18,0)</f>
        <v>0</v>
      </c>
      <c r="IT18"/>
      <c r="IU18"/>
      <c r="IV18"/>
    </row>
    <row r="19" spans="1:256" s="155" customFormat="1" ht="9" customHeight="1">
      <c r="A19" s="172" t="s">
        <v>87</v>
      </c>
      <c r="B19" s="173"/>
      <c r="C19" s="149"/>
      <c r="D19" s="134" t="s">
        <v>88</v>
      </c>
      <c r="E19" s="150">
        <v>30</v>
      </c>
      <c r="F19" s="150">
        <v>5</v>
      </c>
      <c r="G19" s="135">
        <f>(3*Kom+2*Int)/5</f>
        <v>75</v>
      </c>
      <c r="H19" s="135">
        <f>IF(G19&lt;50,450-6*G19,IF(G19&lt;100,250-2*G19,75-G19/4))</f>
        <v>100</v>
      </c>
      <c r="I19" s="136">
        <f>H19*F19/100</f>
        <v>5</v>
      </c>
      <c r="J19" s="131" t="s">
        <v>89</v>
      </c>
      <c r="K19" s="132"/>
      <c r="L19" s="133"/>
      <c r="M19" s="134" t="s">
        <v>56</v>
      </c>
      <c r="N19" s="134">
        <v>40</v>
      </c>
      <c r="O19" s="134">
        <v>32</v>
      </c>
      <c r="P19" s="135">
        <f>Kom</f>
        <v>75</v>
      </c>
      <c r="Q19" s="135">
        <f>IF(P19&lt;50,450-6*P19,IF(P19&lt;100,250-2*P19,75-P19/4))</f>
        <v>100</v>
      </c>
      <c r="R19" s="136">
        <f>Q19*O19/100</f>
        <v>32</v>
      </c>
      <c r="S19" s="120"/>
      <c r="T19" s="172" t="s">
        <v>87</v>
      </c>
      <c r="U19" s="137"/>
      <c r="V19" s="138"/>
      <c r="W19" s="139"/>
      <c r="X19" s="140">
        <f>IF(W19&gt;0,INDEX(lerntab___0,W19,1),0)</f>
        <v>0</v>
      </c>
      <c r="Y19" s="141">
        <f>ROUND(X19*I19,0)</f>
        <v>0</v>
      </c>
      <c r="Z19" s="174" t="s">
        <v>90</v>
      </c>
      <c r="AA19" s="131" t="s">
        <v>89</v>
      </c>
      <c r="AB19" s="137"/>
      <c r="AC19" s="138"/>
      <c r="AD19" s="139"/>
      <c r="AE19" s="140">
        <f>IF(AD19&gt;0,INDEX(lerntab___0,AD19,1),0)</f>
        <v>0</v>
      </c>
      <c r="AF19" s="141">
        <f>ROUND(AE19*R19,0)</f>
        <v>0</v>
      </c>
      <c r="AG19" s="142"/>
      <c r="AH19" s="120"/>
      <c r="AI19" s="166"/>
      <c r="AJ19" s="139"/>
      <c r="AK19" s="175"/>
      <c r="AN19" s="146">
        <f>IF(LEFT(D19,1)="A",Y19,0)</f>
        <v>0</v>
      </c>
      <c r="AO19" s="146">
        <f>IF(LEFT(D19,1)="K",Y19,0)</f>
        <v>0</v>
      </c>
      <c r="AP19" s="146">
        <f>IF(LEFT(D19,1)="M",Y19,0)</f>
        <v>0</v>
      </c>
      <c r="AQ19" s="146"/>
      <c r="AR19" s="146">
        <f>IF(LEFT(M19,1)="A",AF19,0)</f>
        <v>0</v>
      </c>
      <c r="AS19" s="146">
        <f>IF(LEFT(M19,1)="K",AF19,0)</f>
        <v>0</v>
      </c>
      <c r="AT19" s="146">
        <f>IF(LEFT(M19,1)="M",AF19,0)</f>
        <v>0</v>
      </c>
      <c r="IT19"/>
      <c r="IU19"/>
      <c r="IV19"/>
    </row>
    <row r="20" spans="1:256" s="155" customFormat="1" ht="9" customHeight="1">
      <c r="A20" s="176" t="s">
        <v>91</v>
      </c>
      <c r="B20" s="177"/>
      <c r="C20" s="178" t="s">
        <v>42</v>
      </c>
      <c r="D20" s="178" t="s">
        <v>43</v>
      </c>
      <c r="E20" s="179" t="s">
        <v>44</v>
      </c>
      <c r="F20" s="179" t="s">
        <v>45</v>
      </c>
      <c r="G20" s="178" t="s">
        <v>46</v>
      </c>
      <c r="H20" s="113" t="s">
        <v>47</v>
      </c>
      <c r="I20" s="180" t="s">
        <v>92</v>
      </c>
      <c r="J20" s="131" t="s">
        <v>93</v>
      </c>
      <c r="K20" s="132"/>
      <c r="L20" s="133"/>
      <c r="M20" s="134" t="s">
        <v>56</v>
      </c>
      <c r="N20" s="134">
        <v>40</v>
      </c>
      <c r="O20" s="134">
        <v>16</v>
      </c>
      <c r="P20" s="135">
        <f>Kom</f>
        <v>75</v>
      </c>
      <c r="Q20" s="135">
        <f>IF(P20&lt;50,450-6*P20,IF(P20&lt;100,250-2*P20,75-P20/4))</f>
        <v>100</v>
      </c>
      <c r="R20" s="136">
        <f>Q20*O20/100</f>
        <v>16</v>
      </c>
      <c r="S20" s="120"/>
      <c r="T20" s="126" t="s">
        <v>91</v>
      </c>
      <c r="U20" s="137"/>
      <c r="V20" s="137"/>
      <c r="W20" s="181"/>
      <c r="X20" s="182"/>
      <c r="Y20" s="183"/>
      <c r="Z20" s="184" t="s">
        <v>94</v>
      </c>
      <c r="AA20" s="131" t="s">
        <v>93</v>
      </c>
      <c r="AB20" s="137"/>
      <c r="AC20" s="138"/>
      <c r="AD20" s="139"/>
      <c r="AE20" s="140">
        <f>IF(AD20&gt;0,INDEX(lerntab___0,AD20,1),0)</f>
        <v>0</v>
      </c>
      <c r="AF20" s="141">
        <f>ROUND(AE20*R20,0)</f>
        <v>0</v>
      </c>
      <c r="AG20" s="142"/>
      <c r="AH20" s="120"/>
      <c r="AI20" s="166"/>
      <c r="AJ20" s="139"/>
      <c r="AK20" s="175"/>
      <c r="AM20" s="124" t="s">
        <v>95</v>
      </c>
      <c r="AN20" s="146">
        <f>IF(LEFT(D20,1)="A",Y20,0)</f>
        <v>0</v>
      </c>
      <c r="AO20" s="146">
        <f>IF(LEFT(D20,1)="K",Y20,0)</f>
        <v>0</v>
      </c>
      <c r="AP20" s="146">
        <f>IF(LEFT(D20,1)="M",Y20,0)</f>
        <v>0</v>
      </c>
      <c r="AQ20" s="146"/>
      <c r="AR20" s="146">
        <f>IF(LEFT(M20,1)="A",AF20,0)</f>
        <v>0</v>
      </c>
      <c r="AS20" s="146">
        <f>IF(LEFT(M20,1)="K",AF20,0)</f>
        <v>0</v>
      </c>
      <c r="AT20" s="146">
        <f>IF(LEFT(M20,1)="M",AF20,0)</f>
        <v>0</v>
      </c>
      <c r="IT20"/>
      <c r="IU20"/>
      <c r="IV20"/>
    </row>
    <row r="21" spans="1:256" s="155" customFormat="1" ht="9" customHeight="1">
      <c r="A21" s="185" t="s">
        <v>96</v>
      </c>
      <c r="B21" s="186"/>
      <c r="C21" s="134" t="s">
        <v>56</v>
      </c>
      <c r="D21" s="134" t="s">
        <v>97</v>
      </c>
      <c r="E21" s="150">
        <v>25</v>
      </c>
      <c r="F21" s="135">
        <f>(2*Kr___0+Ges+2*Kom)/5</f>
        <v>75</v>
      </c>
      <c r="G21" s="135">
        <f>IF(F21&lt;50,450-6*F21,IF(F21&lt;100,250-2*F21,75-F21/4))</f>
        <v>100</v>
      </c>
      <c r="H21" s="136">
        <f>G21*E21/100</f>
        <v>25</v>
      </c>
      <c r="I21" s="134">
        <f>E21*$Q$15/200</f>
        <v>12.5</v>
      </c>
      <c r="J21" s="131" t="s">
        <v>98</v>
      </c>
      <c r="K21" s="132"/>
      <c r="L21" s="133"/>
      <c r="M21" s="134" t="s">
        <v>56</v>
      </c>
      <c r="N21" s="134">
        <v>40</v>
      </c>
      <c r="O21" s="134">
        <v>60</v>
      </c>
      <c r="P21" s="135">
        <f>Kom</f>
        <v>75</v>
      </c>
      <c r="Q21" s="135">
        <f>IF(P21&lt;50,450-6*P21,IF(P21&lt;100,250-2*P21,75-P21/4))</f>
        <v>100</v>
      </c>
      <c r="R21" s="136">
        <f>Q21*O21/100</f>
        <v>60</v>
      </c>
      <c r="S21" s="120"/>
      <c r="T21" s="187" t="s">
        <v>96</v>
      </c>
      <c r="U21" s="137"/>
      <c r="V21" s="138"/>
      <c r="W21" s="139"/>
      <c r="X21" s="140">
        <f>IF(W21&gt;0,INDEX(lerntab___0,W21,1),0)</f>
        <v>0</v>
      </c>
      <c r="Y21" s="141">
        <f>IF(W21&gt;Z21,ROUND(X21*H21,0),ROUND(X21*H21+(AM21-X21)*I21,0))</f>
        <v>0</v>
      </c>
      <c r="Z21" s="188"/>
      <c r="AA21" s="131" t="s">
        <v>98</v>
      </c>
      <c r="AB21" s="137"/>
      <c r="AC21" s="138"/>
      <c r="AD21" s="139"/>
      <c r="AE21" s="140">
        <f>IF(AD21&gt;0,INDEX(lerntab___0,AD21,1),0)</f>
        <v>0</v>
      </c>
      <c r="AF21" s="141">
        <f>ROUND(AE21*R21,0)</f>
        <v>0</v>
      </c>
      <c r="AG21" s="142"/>
      <c r="AH21" s="120"/>
      <c r="AI21" s="166"/>
      <c r="AJ21" s="139"/>
      <c r="AK21" s="175"/>
      <c r="AM21" s="140">
        <f>IF(Z21&gt;0,INDEX(lerntab___0,Z21,1),0)</f>
        <v>0</v>
      </c>
      <c r="AN21" s="146">
        <f>IF(LEFT(C21,1)="A",Y21,0)</f>
        <v>0</v>
      </c>
      <c r="AO21" s="146">
        <f>IF(LEFT(C21,1)="K",Y21,0)</f>
        <v>0</v>
      </c>
      <c r="AP21" s="146">
        <f>IF(LEFT(C21,1)="M",Y21,0)</f>
        <v>0</v>
      </c>
      <c r="AQ21" s="146"/>
      <c r="AR21" s="146">
        <f>IF(LEFT(M21,1)="A",AF21,0)</f>
        <v>0</v>
      </c>
      <c r="AS21" s="146">
        <f>IF(LEFT(M21,1)="K",AF21,0)</f>
        <v>0</v>
      </c>
      <c r="AT21" s="146">
        <f>IF(LEFT(M21,1)="M",AF21,0)</f>
        <v>0</v>
      </c>
      <c r="IT21"/>
      <c r="IU21"/>
      <c r="IV21"/>
    </row>
    <row r="22" spans="1:256" s="155" customFormat="1" ht="9" customHeight="1">
      <c r="A22" s="189" t="s">
        <v>99</v>
      </c>
      <c r="B22" s="190"/>
      <c r="C22" s="134" t="s">
        <v>56</v>
      </c>
      <c r="D22" s="134">
        <v>0</v>
      </c>
      <c r="E22" s="150">
        <v>15</v>
      </c>
      <c r="F22" s="135">
        <f>(2*Kr___0+3*Ges)/5</f>
        <v>75</v>
      </c>
      <c r="G22" s="135">
        <f>IF(F22&lt;50,450-6*F22,IF(F22&lt;100,250-2*F22,75-F22/4))</f>
        <v>100</v>
      </c>
      <c r="H22" s="136">
        <f>G22*E22/100</f>
        <v>15</v>
      </c>
      <c r="I22" s="134">
        <f>E22*$Q$15/200</f>
        <v>7.5</v>
      </c>
      <c r="J22" s="131" t="s">
        <v>100</v>
      </c>
      <c r="K22" s="132"/>
      <c r="L22" s="133"/>
      <c r="M22" s="134" t="s">
        <v>56</v>
      </c>
      <c r="N22" s="134">
        <v>40</v>
      </c>
      <c r="O22" s="134">
        <v>40</v>
      </c>
      <c r="P22" s="135">
        <f>Kom</f>
        <v>75</v>
      </c>
      <c r="Q22" s="135">
        <f>IF(P22&lt;50,450-6*P22,IF(P22&lt;100,250-2*P22,75-P22/4))</f>
        <v>100</v>
      </c>
      <c r="R22" s="136">
        <f>Q22*O22/100</f>
        <v>40</v>
      </c>
      <c r="S22" s="120"/>
      <c r="T22" s="191"/>
      <c r="U22" s="182" t="s">
        <v>99</v>
      </c>
      <c r="V22" s="138"/>
      <c r="W22" s="139"/>
      <c r="X22" s="140">
        <f>IF(W22&gt;0,INDEX(lerntab___0,W22,1),0)</f>
        <v>0</v>
      </c>
      <c r="Y22" s="141">
        <f>IF(W22&gt;Z22,ROUND(X22*H22,0),ROUND(X22*H22+(AM22-X22)*I22,0))</f>
        <v>0</v>
      </c>
      <c r="Z22" s="188"/>
      <c r="AA22" s="131" t="s">
        <v>100</v>
      </c>
      <c r="AB22" s="137"/>
      <c r="AC22" s="138"/>
      <c r="AD22" s="139"/>
      <c r="AE22" s="140">
        <f>IF(AD22&gt;0,INDEX(lerntab___0,AD22,1),0)</f>
        <v>0</v>
      </c>
      <c r="AF22" s="141">
        <f>ROUND(AE22*R22,0)</f>
        <v>0</v>
      </c>
      <c r="AG22" s="142"/>
      <c r="AH22" s="120"/>
      <c r="AI22" s="166"/>
      <c r="AJ22" s="139"/>
      <c r="AK22" s="175"/>
      <c r="AM22" s="140">
        <f>IF(Z22&gt;0,INDEX(lerntab___0,Z22,1),0)</f>
        <v>0</v>
      </c>
      <c r="AN22" s="146">
        <f>IF(LEFT(C22,1)="A",Y22,0)</f>
        <v>0</v>
      </c>
      <c r="AO22" s="146">
        <f>IF(LEFT(C22,1)="K",Y22,0)</f>
        <v>0</v>
      </c>
      <c r="AP22" s="146">
        <f>IF(LEFT(C22,1)="M",Y22,0)</f>
        <v>0</v>
      </c>
      <c r="AQ22" s="146"/>
      <c r="AR22" s="146">
        <f>IF(LEFT(M22,1)="A",AF22,0)</f>
        <v>0</v>
      </c>
      <c r="AS22" s="146">
        <f>IF(LEFT(M22,1)="K",AF22,0)</f>
        <v>0</v>
      </c>
      <c r="AT22" s="146">
        <f>IF(LEFT(M22,1)="M",AF22,0)</f>
        <v>0</v>
      </c>
      <c r="IT22"/>
      <c r="IU22"/>
      <c r="IV22"/>
    </row>
    <row r="23" spans="1:256" s="155" customFormat="1" ht="9" customHeight="1">
      <c r="A23" s="189" t="s">
        <v>101</v>
      </c>
      <c r="B23" s="192"/>
      <c r="C23" s="134" t="s">
        <v>56</v>
      </c>
      <c r="D23" s="134">
        <v>5</v>
      </c>
      <c r="E23" s="150">
        <v>13</v>
      </c>
      <c r="F23" s="135">
        <f>(3*Kr___0+2*Ges)/5</f>
        <v>75</v>
      </c>
      <c r="G23" s="135">
        <f>IF(F23&lt;50,450-6*F23,IF(F23&lt;100,250-2*F23,75-F23/4))</f>
        <v>100</v>
      </c>
      <c r="H23" s="136">
        <f>G23*E23/100</f>
        <v>13</v>
      </c>
      <c r="I23" s="134">
        <f>E23*$Q$15/200</f>
        <v>6.5</v>
      </c>
      <c r="J23" s="131" t="s">
        <v>102</v>
      </c>
      <c r="K23" s="132"/>
      <c r="L23" s="133"/>
      <c r="M23" s="134" t="s">
        <v>56</v>
      </c>
      <c r="N23" s="134">
        <v>40</v>
      </c>
      <c r="O23" s="134">
        <v>18</v>
      </c>
      <c r="P23" s="135">
        <f>Kom</f>
        <v>75</v>
      </c>
      <c r="Q23" s="135">
        <f>IF(P23&lt;50,450-6*P23,IF(P23&lt;100,250-2*P23,75-P23/4))</f>
        <v>100</v>
      </c>
      <c r="R23" s="136">
        <f>Q23*O23/100</f>
        <v>18</v>
      </c>
      <c r="S23" s="120"/>
      <c r="T23" s="191"/>
      <c r="U23" s="182" t="s">
        <v>101</v>
      </c>
      <c r="V23" s="138"/>
      <c r="W23" s="139"/>
      <c r="X23" s="140">
        <f>IF(W23&gt;0,INDEX(lerntab___0,W23,1),0)</f>
        <v>0</v>
      </c>
      <c r="Y23" s="141">
        <f>IF(W23&gt;Z23,ROUND(X23*H23,0),ROUND(X23*H23+(AM23-X23)*I23,0))</f>
        <v>0</v>
      </c>
      <c r="Z23" s="188"/>
      <c r="AA23" s="131" t="s">
        <v>102</v>
      </c>
      <c r="AB23" s="137"/>
      <c r="AC23" s="138"/>
      <c r="AD23" s="139"/>
      <c r="AE23" s="140">
        <f>IF(AD23&gt;0,INDEX(lerntab___0,AD23,1),0)</f>
        <v>0</v>
      </c>
      <c r="AF23" s="141">
        <f>ROUND(AE23*R23,0)</f>
        <v>0</v>
      </c>
      <c r="AG23" s="142"/>
      <c r="AH23" s="120"/>
      <c r="AI23" s="193"/>
      <c r="AJ23" s="139"/>
      <c r="AK23" s="175"/>
      <c r="AM23" s="140">
        <f>IF(Z23&gt;0,INDEX(lerntab___0,Z23,1),0)</f>
        <v>0</v>
      </c>
      <c r="AN23" s="146">
        <f>IF(LEFT(C23,1)="A",Y23,0)</f>
        <v>0</v>
      </c>
      <c r="AO23" s="146">
        <f>IF(LEFT(C23,1)="K",Y23,0)</f>
        <v>0</v>
      </c>
      <c r="AP23" s="146">
        <f>IF(LEFT(C23,1)="M",Y23,0)</f>
        <v>0</v>
      </c>
      <c r="AQ23" s="146"/>
      <c r="AR23" s="146">
        <f>IF(LEFT(M23,1)="A",AF23,0)</f>
        <v>0</v>
      </c>
      <c r="AS23" s="146">
        <f>IF(LEFT(M23,1)="K",AF23,0)</f>
        <v>0</v>
      </c>
      <c r="AT23" s="146">
        <f>IF(LEFT(M23,1)="M",AF23,0)</f>
        <v>0</v>
      </c>
      <c r="IT23"/>
      <c r="IU23"/>
      <c r="IV23"/>
    </row>
    <row r="24" spans="1:256" s="155" customFormat="1" ht="9" customHeight="1">
      <c r="A24" s="189" t="s">
        <v>103</v>
      </c>
      <c r="B24" s="192"/>
      <c r="C24" s="134" t="s">
        <v>56</v>
      </c>
      <c r="D24" s="134">
        <v>5</v>
      </c>
      <c r="E24" s="150">
        <v>23</v>
      </c>
      <c r="F24" s="135">
        <f>(2*Ges+3*Kom)/5</f>
        <v>75</v>
      </c>
      <c r="G24" s="135">
        <f>IF(F24&lt;50,450-6*F24,IF(F24&lt;100,250-2*F24,75-F24/4))</f>
        <v>100</v>
      </c>
      <c r="H24" s="136">
        <f>G24*E24/100</f>
        <v>23</v>
      </c>
      <c r="I24" s="134">
        <f>E24*$Q$15/200</f>
        <v>11.5</v>
      </c>
      <c r="J24" s="131" t="s">
        <v>104</v>
      </c>
      <c r="K24" s="132"/>
      <c r="L24" s="133"/>
      <c r="M24" s="134" t="s">
        <v>56</v>
      </c>
      <c r="N24" s="134">
        <v>40</v>
      </c>
      <c r="O24" s="134">
        <v>20</v>
      </c>
      <c r="P24" s="135">
        <f>Kom</f>
        <v>75</v>
      </c>
      <c r="Q24" s="135">
        <f>IF(P24&lt;50,450-6*P24,IF(P24&lt;100,250-2*P24,75-P24/4))</f>
        <v>100</v>
      </c>
      <c r="R24" s="136">
        <f>Q24*O24/100</f>
        <v>20</v>
      </c>
      <c r="S24" s="120"/>
      <c r="T24" s="191"/>
      <c r="U24" s="182" t="s">
        <v>103</v>
      </c>
      <c r="V24" s="138"/>
      <c r="W24" s="139"/>
      <c r="X24" s="140">
        <f>IF(W24&gt;0,INDEX(lerntab___0,W24,1),0)</f>
        <v>0</v>
      </c>
      <c r="Y24" s="141">
        <f>IF(W24&gt;Z24,ROUND(X24*H24,0),ROUND(X24*H24+(AM24-X24)*I24,0))</f>
        <v>0</v>
      </c>
      <c r="Z24" s="188"/>
      <c r="AA24" s="131" t="s">
        <v>104</v>
      </c>
      <c r="AB24" s="137"/>
      <c r="AC24" s="138"/>
      <c r="AD24" s="139"/>
      <c r="AE24" s="140">
        <f>IF(AD24&gt;0,INDEX(lerntab___0,AD24,1),0)</f>
        <v>0</v>
      </c>
      <c r="AF24" s="141">
        <f>ROUND(AE24*R24,0)</f>
        <v>0</v>
      </c>
      <c r="AG24" s="142"/>
      <c r="AH24" s="120"/>
      <c r="AI24" s="166"/>
      <c r="AJ24" s="139"/>
      <c r="AK24" s="175"/>
      <c r="AM24" s="140">
        <f>IF(Z24&gt;0,INDEX(lerntab___0,Z24,1),0)</f>
        <v>0</v>
      </c>
      <c r="AN24" s="146">
        <f>IF(LEFT(C24,1)="A",Y24,0)</f>
        <v>0</v>
      </c>
      <c r="AO24" s="146">
        <f>IF(LEFT(C24,1)="K",Y24,0)</f>
        <v>0</v>
      </c>
      <c r="AP24" s="146">
        <f>IF(LEFT(C24,1)="M",Y24,0)</f>
        <v>0</v>
      </c>
      <c r="AQ24" s="146"/>
      <c r="AR24" s="146">
        <f>IF(LEFT(M24,1)="A",AF24,0)</f>
        <v>0</v>
      </c>
      <c r="AS24" s="146">
        <f>IF(LEFT(M24,1)="K",AF24,0)</f>
        <v>0</v>
      </c>
      <c r="AT24" s="146">
        <f>IF(LEFT(M24,1)="M",AF24,0)</f>
        <v>0</v>
      </c>
      <c r="IT24"/>
      <c r="IU24"/>
      <c r="IV24"/>
    </row>
    <row r="25" spans="1:256" s="155" customFormat="1" ht="9" customHeight="1">
      <c r="A25" s="147" t="s">
        <v>105</v>
      </c>
      <c r="B25" s="192"/>
      <c r="C25" s="134" t="s">
        <v>56</v>
      </c>
      <c r="D25" s="134" t="s">
        <v>97</v>
      </c>
      <c r="E25" s="150">
        <v>20</v>
      </c>
      <c r="F25" s="135">
        <f>(Kr___0+2*Ges+2*Kom)/5</f>
        <v>75</v>
      </c>
      <c r="G25" s="135">
        <f>IF(F25&lt;50,450-6*F25,IF(F25&lt;100,250-2*F25,75-F25/4))</f>
        <v>100</v>
      </c>
      <c r="H25" s="136">
        <f>G25*E25/100</f>
        <v>20</v>
      </c>
      <c r="I25" s="134">
        <f>E25*$Q$15/200</f>
        <v>10</v>
      </c>
      <c r="J25" s="131" t="s">
        <v>106</v>
      </c>
      <c r="K25" s="132"/>
      <c r="L25" s="133"/>
      <c r="M25" s="134" t="s">
        <v>56</v>
      </c>
      <c r="N25" s="134">
        <v>40</v>
      </c>
      <c r="O25" s="134">
        <v>32</v>
      </c>
      <c r="P25" s="135">
        <f>Kom</f>
        <v>75</v>
      </c>
      <c r="Q25" s="135">
        <f>IF(P25&lt;50,450-6*P25,IF(P25&lt;100,250-2*P25,75-P25/4))</f>
        <v>100</v>
      </c>
      <c r="R25" s="136">
        <f>Q25*O25/100</f>
        <v>32</v>
      </c>
      <c r="S25" s="120"/>
      <c r="T25" s="187" t="s">
        <v>105</v>
      </c>
      <c r="U25" s="194"/>
      <c r="V25" s="194"/>
      <c r="W25" s="139"/>
      <c r="X25" s="140">
        <f>IF(W25&gt;0,INDEX(lerntab___0,W25,1),0)</f>
        <v>0</v>
      </c>
      <c r="Y25" s="141">
        <f>IF(W25&gt;Z25,ROUND(X25*H25,0),ROUND(X25*H25+(AM25-X25)*I25,0))</f>
        <v>0</v>
      </c>
      <c r="Z25" s="188"/>
      <c r="AA25" s="131" t="s">
        <v>106</v>
      </c>
      <c r="AB25" s="137"/>
      <c r="AC25" s="138"/>
      <c r="AD25" s="139"/>
      <c r="AE25" s="140">
        <f>IF(AD25&gt;0,INDEX(lerntab___0,AD25,1),0)</f>
        <v>0</v>
      </c>
      <c r="AF25" s="141">
        <f>ROUND(AE25*R25,0)</f>
        <v>0</v>
      </c>
      <c r="AG25" s="142"/>
      <c r="AH25" s="120"/>
      <c r="AI25" s="166"/>
      <c r="AJ25" s="139"/>
      <c r="AK25" s="175"/>
      <c r="AM25" s="140">
        <f>IF(Z25&gt;0,INDEX(lerntab___0,Z25,1),0)</f>
        <v>0</v>
      </c>
      <c r="AN25" s="146">
        <f>IF(LEFT(C25,1)="A",Y25,0)</f>
        <v>0</v>
      </c>
      <c r="AO25" s="146">
        <f>IF(LEFT(C25,1)="K",Y25,0)</f>
        <v>0</v>
      </c>
      <c r="AP25" s="146">
        <f>IF(LEFT(C25,1)="M",Y25,0)</f>
        <v>0</v>
      </c>
      <c r="AQ25" s="146"/>
      <c r="AR25" s="146">
        <f>IF(LEFT(M25,1)="A",AF25,0)</f>
        <v>0</v>
      </c>
      <c r="AS25" s="146">
        <f>IF(LEFT(M25,1)="K",AF25,0)</f>
        <v>0</v>
      </c>
      <c r="AT25" s="146">
        <f>IF(LEFT(M25,1)="M",AF25,0)</f>
        <v>0</v>
      </c>
      <c r="IT25"/>
      <c r="IU25"/>
      <c r="IV25"/>
    </row>
    <row r="26" spans="1:256" s="155" customFormat="1" ht="9" customHeight="1">
      <c r="A26" s="189" t="s">
        <v>107</v>
      </c>
      <c r="B26" s="192"/>
      <c r="C26" s="134" t="s">
        <v>56</v>
      </c>
      <c r="D26" s="134">
        <v>0</v>
      </c>
      <c r="E26" s="150">
        <v>15</v>
      </c>
      <c r="F26" s="135">
        <f>(2*Kr___0+3*Ges)/5</f>
        <v>75</v>
      </c>
      <c r="G26" s="135">
        <f>IF(F26&lt;50,450-6*F26,IF(F26&lt;100,250-2*F26,75-F26/4))</f>
        <v>100</v>
      </c>
      <c r="H26" s="136">
        <f>G26*E26/100</f>
        <v>15</v>
      </c>
      <c r="I26" s="134">
        <f>E26*$Q$15/200</f>
        <v>7.5</v>
      </c>
      <c r="J26" s="131" t="s">
        <v>108</v>
      </c>
      <c r="K26" s="132"/>
      <c r="L26" s="133"/>
      <c r="M26" s="134" t="s">
        <v>56</v>
      </c>
      <c r="N26" s="134">
        <v>40</v>
      </c>
      <c r="O26" s="134">
        <v>16</v>
      </c>
      <c r="P26" s="135">
        <f>Kom</f>
        <v>75</v>
      </c>
      <c r="Q26" s="135">
        <f>IF(P26&lt;50,450-6*P26,IF(P26&lt;100,250-2*P26,75-P26/4))</f>
        <v>100</v>
      </c>
      <c r="R26" s="136">
        <f>Q26*O26/100</f>
        <v>16</v>
      </c>
      <c r="S26" s="120"/>
      <c r="T26" s="191"/>
      <c r="U26" s="182" t="s">
        <v>107</v>
      </c>
      <c r="V26" s="194"/>
      <c r="W26" s="139"/>
      <c r="X26" s="140">
        <f>IF(W26&gt;0,INDEX(lerntab___0,W26,1),0)</f>
        <v>0</v>
      </c>
      <c r="Y26" s="141">
        <f>IF(W26&gt;Z26,ROUND(X26*H26,0),ROUND(X26*H26+(AM26-X26)*I26,0))</f>
        <v>0</v>
      </c>
      <c r="Z26" s="188"/>
      <c r="AA26" s="131" t="s">
        <v>108</v>
      </c>
      <c r="AB26" s="137"/>
      <c r="AC26" s="138"/>
      <c r="AD26" s="139"/>
      <c r="AE26" s="140">
        <f>IF(AD26&gt;0,INDEX(lerntab___0,AD26,1),0)</f>
        <v>0</v>
      </c>
      <c r="AF26" s="141">
        <f>ROUND(AE26*R26,0)</f>
        <v>0</v>
      </c>
      <c r="AG26" s="142"/>
      <c r="AH26" s="120"/>
      <c r="AI26" s="166"/>
      <c r="AJ26" s="139"/>
      <c r="AK26" s="175"/>
      <c r="AM26" s="140">
        <f>IF(Z26&gt;0,INDEX(lerntab___0,Z26,1),0)</f>
        <v>0</v>
      </c>
      <c r="AN26" s="146">
        <f>IF(LEFT(C26,1)="A",Y26,0)</f>
        <v>0</v>
      </c>
      <c r="AO26" s="146">
        <f>IF(LEFT(C26,1)="K",Y26,0)</f>
        <v>0</v>
      </c>
      <c r="AP26" s="146">
        <f>IF(LEFT(C26,1)="M",Y26,0)</f>
        <v>0</v>
      </c>
      <c r="AQ26" s="146"/>
      <c r="AR26" s="146">
        <f>IF(LEFT(M26,1)="A",AF26,0)</f>
        <v>0</v>
      </c>
      <c r="AS26" s="146">
        <f>IF(LEFT(M26,1)="K",AF26,0)</f>
        <v>0</v>
      </c>
      <c r="AT26" s="146">
        <f>IF(LEFT(M26,1)="M",AF26,0)</f>
        <v>0</v>
      </c>
      <c r="IT26"/>
      <c r="IU26"/>
      <c r="IV26"/>
    </row>
    <row r="27" spans="1:256" s="155" customFormat="1" ht="9" customHeight="1">
      <c r="A27" s="189" t="s">
        <v>109</v>
      </c>
      <c r="B27" s="192"/>
      <c r="C27" s="134" t="s">
        <v>56</v>
      </c>
      <c r="D27" s="134">
        <v>5</v>
      </c>
      <c r="E27" s="150">
        <v>13</v>
      </c>
      <c r="F27" s="135">
        <f>(3*Kr___0+2*Ges)/5</f>
        <v>75</v>
      </c>
      <c r="G27" s="135">
        <f>IF(F27&lt;50,450-6*F27,IF(F27&lt;100,250-2*F27,75-F27/4))</f>
        <v>100</v>
      </c>
      <c r="H27" s="136">
        <f>G27*E27/100</f>
        <v>13</v>
      </c>
      <c r="I27" s="134">
        <f>E27*$Q$15/200</f>
        <v>6.5</v>
      </c>
      <c r="J27" s="131" t="s">
        <v>110</v>
      </c>
      <c r="K27" s="132"/>
      <c r="L27" s="133"/>
      <c r="M27" s="134" t="s">
        <v>56</v>
      </c>
      <c r="N27" s="134">
        <v>40</v>
      </c>
      <c r="O27" s="134">
        <v>40</v>
      </c>
      <c r="P27" s="135">
        <f>Kom</f>
        <v>75</v>
      </c>
      <c r="Q27" s="135">
        <f>IF(P27&lt;50,450-6*P27,IF(P27&lt;100,250-2*P27,75-P27/4))</f>
        <v>100</v>
      </c>
      <c r="R27" s="136">
        <f>Q27*O27/100</f>
        <v>40</v>
      </c>
      <c r="S27" s="120"/>
      <c r="T27" s="191"/>
      <c r="U27" s="182" t="s">
        <v>109</v>
      </c>
      <c r="V27" s="194"/>
      <c r="W27" s="139"/>
      <c r="X27" s="140">
        <f>IF(W27&gt;0,INDEX(lerntab___0,W27,1),0)</f>
        <v>0</v>
      </c>
      <c r="Y27" s="141">
        <f>IF(W27&gt;Z28,ROUND(X27*H27,0),ROUND(X27*H27+(AM28-X27)*I27,0))</f>
        <v>0</v>
      </c>
      <c r="Z27" s="188"/>
      <c r="AA27" s="131" t="s">
        <v>110</v>
      </c>
      <c r="AB27" s="137"/>
      <c r="AC27" s="138"/>
      <c r="AD27" s="139"/>
      <c r="AE27" s="140">
        <f>IF(AD27&gt;0,INDEX(lerntab___0,AD27,1),0)</f>
        <v>0</v>
      </c>
      <c r="AF27" s="141">
        <f>ROUND(AE27*R27,0)</f>
        <v>0</v>
      </c>
      <c r="AG27" s="142"/>
      <c r="AH27" s="120"/>
      <c r="AI27" s="166"/>
      <c r="AJ27" s="139"/>
      <c r="AK27" s="175"/>
      <c r="AM27" s="140"/>
      <c r="AN27" s="146">
        <f>IF(LEFT(C27,1)="A",Y27,0)</f>
        <v>0</v>
      </c>
      <c r="AO27" s="146">
        <f>IF(LEFT(C27,1)="K",Y27,0)</f>
        <v>0</v>
      </c>
      <c r="AP27" s="146">
        <f>IF(LEFT(C27,1)="M",Y27,0)</f>
        <v>0</v>
      </c>
      <c r="AQ27" s="146"/>
      <c r="AR27" s="146">
        <f>IF(LEFT(M27,1)="A",AF27,0)</f>
        <v>0</v>
      </c>
      <c r="AS27" s="146">
        <f>IF(LEFT(M27,1)="K",AF27,0)</f>
        <v>0</v>
      </c>
      <c r="AT27" s="146">
        <f>IF(LEFT(M27,1)="M",AF27,0)</f>
        <v>0</v>
      </c>
      <c r="IT27"/>
      <c r="IU27"/>
      <c r="IV27"/>
    </row>
    <row r="28" spans="1:256" s="155" customFormat="1" ht="9" customHeight="1">
      <c r="A28" s="189" t="s">
        <v>111</v>
      </c>
      <c r="B28" s="192"/>
      <c r="C28" s="134" t="s">
        <v>56</v>
      </c>
      <c r="D28" s="134">
        <v>-5</v>
      </c>
      <c r="E28" s="150">
        <v>25</v>
      </c>
      <c r="F28" s="135">
        <f>(2*Ges+3*Kom)/5</f>
        <v>75</v>
      </c>
      <c r="G28" s="135">
        <f>IF(F28&lt;50,450-6*F28,IF(F28&lt;100,250-2*F28,75-F28/4))</f>
        <v>100</v>
      </c>
      <c r="H28" s="136">
        <f>G28*E28/100</f>
        <v>25</v>
      </c>
      <c r="I28" s="134">
        <f>E28*$Q$15/200</f>
        <v>12.5</v>
      </c>
      <c r="J28" s="131" t="s">
        <v>112</v>
      </c>
      <c r="K28" s="132"/>
      <c r="L28" s="133"/>
      <c r="M28" s="134" t="s">
        <v>56</v>
      </c>
      <c r="N28" s="134">
        <v>40</v>
      </c>
      <c r="O28" s="134">
        <v>35</v>
      </c>
      <c r="P28" s="135">
        <f>Kom</f>
        <v>75</v>
      </c>
      <c r="Q28" s="135">
        <f>IF(P28&lt;50,450-6*P28,IF(P28&lt;100,250-2*P28,75-P28/4))</f>
        <v>100</v>
      </c>
      <c r="R28" s="136">
        <f>Q28*O28/100</f>
        <v>35</v>
      </c>
      <c r="S28" s="120"/>
      <c r="T28" s="191"/>
      <c r="U28" s="182" t="s">
        <v>111</v>
      </c>
      <c r="V28" s="194"/>
      <c r="W28" s="139"/>
      <c r="X28" s="140">
        <f>IF(W28&gt;0,INDEX(lerntab___0,W28,1),0)</f>
        <v>0</v>
      </c>
      <c r="Y28" s="141">
        <f>IF(W28&gt;Z29,ROUND(X28*H28,0),ROUND(X28*H28+(AM29-X28)*I28,0))</f>
        <v>0</v>
      </c>
      <c r="Z28" s="188"/>
      <c r="AA28" s="131" t="s">
        <v>112</v>
      </c>
      <c r="AB28" s="137"/>
      <c r="AC28" s="138"/>
      <c r="AD28" s="139"/>
      <c r="AE28" s="140">
        <f>IF(AD28&gt;0,INDEX(lerntab___0,AD28,1),0)</f>
        <v>0</v>
      </c>
      <c r="AF28" s="141">
        <f>ROUND(AE28*R28,0)</f>
        <v>0</v>
      </c>
      <c r="AG28" s="142"/>
      <c r="AH28" s="120"/>
      <c r="AI28" s="166"/>
      <c r="AJ28" s="139"/>
      <c r="AK28" s="175"/>
      <c r="AM28" s="140">
        <f>IF(Z28&gt;0,INDEX(lerntab___0,Z28,1),0)</f>
        <v>0</v>
      </c>
      <c r="AN28" s="146">
        <f>IF(LEFT(C28,1)="A",Y28,0)</f>
        <v>0</v>
      </c>
      <c r="AO28" s="146">
        <f>IF(LEFT(C28,1)="K",Y28,0)</f>
        <v>0</v>
      </c>
      <c r="AP28" s="146">
        <f>IF(LEFT(C28,1)="M",Y28,0)</f>
        <v>0</v>
      </c>
      <c r="AQ28" s="146"/>
      <c r="AR28" s="146">
        <f>IF(LEFT(M28,1)="A",AF28,0)</f>
        <v>0</v>
      </c>
      <c r="AS28" s="146">
        <f>IF(LEFT(M28,1)="K",AF28,0)</f>
        <v>0</v>
      </c>
      <c r="AT28" s="146">
        <f>IF(LEFT(M28,1)="M",AF28,0)</f>
        <v>0</v>
      </c>
      <c r="IT28"/>
      <c r="IU28"/>
      <c r="IV28"/>
    </row>
    <row r="29" spans="1:256" s="155" customFormat="1" ht="9" customHeight="1">
      <c r="A29" s="189" t="s">
        <v>113</v>
      </c>
      <c r="B29" s="192"/>
      <c r="C29" s="134" t="s">
        <v>56</v>
      </c>
      <c r="D29" s="134">
        <v>-5</v>
      </c>
      <c r="E29" s="150">
        <v>20</v>
      </c>
      <c r="F29" s="135">
        <f>(Kr___0+2*Ges+2*Int)/5</f>
        <v>75</v>
      </c>
      <c r="G29" s="135">
        <f>IF(F29&lt;50,450-6*F29,IF(F29&lt;100,250-2*F29,75-F29/4))</f>
        <v>100</v>
      </c>
      <c r="H29" s="136">
        <f>G29*E29/100</f>
        <v>20</v>
      </c>
      <c r="I29" s="134">
        <f>E29*$Q$15/200</f>
        <v>10</v>
      </c>
      <c r="J29" s="131" t="s">
        <v>114</v>
      </c>
      <c r="K29" s="132"/>
      <c r="L29" s="133"/>
      <c r="M29" s="134" t="s">
        <v>56</v>
      </c>
      <c r="N29" s="134">
        <v>40</v>
      </c>
      <c r="O29" s="134">
        <v>60</v>
      </c>
      <c r="P29" s="135">
        <f>Kom</f>
        <v>75</v>
      </c>
      <c r="Q29" s="135">
        <f>IF(P29&lt;50,450-6*P29,IF(P29&lt;100,250-2*P29,75-P29/4))</f>
        <v>100</v>
      </c>
      <c r="R29" s="136">
        <f>Q29*O29/100</f>
        <v>60</v>
      </c>
      <c r="S29" s="120"/>
      <c r="T29" s="191"/>
      <c r="U29" s="182" t="s">
        <v>113</v>
      </c>
      <c r="V29" s="194"/>
      <c r="W29" s="139"/>
      <c r="X29" s="140">
        <f>IF(W29&gt;0,INDEX(lerntab___0,W29,1),0)</f>
        <v>0</v>
      </c>
      <c r="Y29" s="141">
        <f>IF(W29&gt;Z30,ROUND(X29*H29,0),ROUND(X29*H29+(AM30-X29)*I29,0))</f>
        <v>0</v>
      </c>
      <c r="Z29" s="188"/>
      <c r="AA29" s="131" t="s">
        <v>114</v>
      </c>
      <c r="AB29" s="137"/>
      <c r="AC29" s="138"/>
      <c r="AD29" s="139"/>
      <c r="AE29" s="140">
        <f>IF(AD29&gt;0,INDEX(lerntab___0,AD29,1),0)</f>
        <v>0</v>
      </c>
      <c r="AF29" s="141">
        <f>ROUND(AE29*R29,0)</f>
        <v>0</v>
      </c>
      <c r="AG29" s="142"/>
      <c r="AH29" s="120"/>
      <c r="AI29" s="166"/>
      <c r="AJ29" s="139"/>
      <c r="AK29" s="175"/>
      <c r="AM29" s="140">
        <f>IF(Z29&gt;0,INDEX(lerntab___0,Z29,1),0)</f>
        <v>0</v>
      </c>
      <c r="AN29" s="146">
        <f>IF(LEFT(C29,1)="A",Y29,0)</f>
        <v>0</v>
      </c>
      <c r="AO29" s="146">
        <f>IF(LEFT(C29,1)="K",Y29,0)</f>
        <v>0</v>
      </c>
      <c r="AP29" s="146">
        <f>IF(LEFT(C29,1)="M",Y29,0)</f>
        <v>0</v>
      </c>
      <c r="AQ29" s="146"/>
      <c r="AR29" s="146">
        <f>IF(LEFT(M29,1)="A",AF29,0)</f>
        <v>0</v>
      </c>
      <c r="AS29" s="146">
        <f>IF(LEFT(M29,1)="K",AF29,0)</f>
        <v>0</v>
      </c>
      <c r="AT29" s="146">
        <f>IF(LEFT(M29,1)="M",AF29,0)</f>
        <v>0</v>
      </c>
      <c r="IT29"/>
      <c r="IU29"/>
      <c r="IV29"/>
    </row>
    <row r="30" spans="1:256" s="155" customFormat="1" ht="9" customHeight="1">
      <c r="A30" s="189" t="s">
        <v>115</v>
      </c>
      <c r="B30" s="192"/>
      <c r="C30" s="134" t="s">
        <v>56</v>
      </c>
      <c r="D30" s="134">
        <v>0</v>
      </c>
      <c r="E30" s="150">
        <v>23</v>
      </c>
      <c r="F30" s="135">
        <f>Int</f>
        <v>75</v>
      </c>
      <c r="G30" s="135">
        <f>IF(F30&lt;50,450-6*F30,IF(F30&lt;100,250-2*F30,75-F30/4))</f>
        <v>100</v>
      </c>
      <c r="H30" s="136">
        <f>G30*E30/100</f>
        <v>23</v>
      </c>
      <c r="I30" s="134">
        <f>E30*$Q$15/200</f>
        <v>11.5</v>
      </c>
      <c r="J30" s="131" t="s">
        <v>116</v>
      </c>
      <c r="K30" s="132"/>
      <c r="L30" s="133"/>
      <c r="M30" s="134" t="s">
        <v>56</v>
      </c>
      <c r="N30" s="134">
        <v>40</v>
      </c>
      <c r="O30" s="134">
        <v>22</v>
      </c>
      <c r="P30" s="135">
        <f>Kom</f>
        <v>75</v>
      </c>
      <c r="Q30" s="135">
        <f>IF(P30&lt;50,450-6*P30,IF(P30&lt;100,250-2*P30,75-P30/4))</f>
        <v>100</v>
      </c>
      <c r="R30" s="136">
        <f>Q30*O30/100</f>
        <v>22</v>
      </c>
      <c r="S30" s="120"/>
      <c r="T30" s="191"/>
      <c r="U30" s="182" t="s">
        <v>115</v>
      </c>
      <c r="V30" s="194"/>
      <c r="W30" s="139"/>
      <c r="X30" s="140">
        <f>IF(W30&gt;0,INDEX(lerntab___0,W30,1),0)</f>
        <v>0</v>
      </c>
      <c r="Y30" s="141">
        <f>IF(W30&gt;Z31,ROUND(X30*H30,0),ROUND(X30*H30+(AM31-X30)*I30,0))</f>
        <v>0</v>
      </c>
      <c r="Z30" s="188"/>
      <c r="AA30" s="131" t="s">
        <v>116</v>
      </c>
      <c r="AB30" s="137"/>
      <c r="AC30" s="138"/>
      <c r="AD30" s="139"/>
      <c r="AE30" s="140">
        <f>IF(AD30&gt;0,INDEX(lerntab___0,AD30,1),0)</f>
        <v>0</v>
      </c>
      <c r="AF30" s="141">
        <f>ROUND(AE30*R30,0)</f>
        <v>0</v>
      </c>
      <c r="AG30" s="142"/>
      <c r="AH30" s="120"/>
      <c r="AI30" s="166"/>
      <c r="AJ30" s="139"/>
      <c r="AK30" s="175"/>
      <c r="AM30" s="140">
        <f>IF(Z30&gt;0,INDEX(lerntab___0,Z30,1),0)</f>
        <v>0</v>
      </c>
      <c r="AN30" s="146">
        <f>IF(LEFT(C30,1)="A",Y30,0)</f>
        <v>0</v>
      </c>
      <c r="AO30" s="146">
        <f>IF(LEFT(C30,1)="K",Y30,0)</f>
        <v>0</v>
      </c>
      <c r="AP30" s="146">
        <f>IF(LEFT(C30,1)="M",Y30,0)</f>
        <v>0</v>
      </c>
      <c r="AQ30" s="146"/>
      <c r="AR30" s="146">
        <f>IF(LEFT(M30,1)="A",AF30,0)</f>
        <v>0</v>
      </c>
      <c r="AS30" s="146">
        <f>IF(LEFT(M30,1)="K",AF30,0)</f>
        <v>0</v>
      </c>
      <c r="AT30" s="146">
        <f>IF(LEFT(M30,1)="M",AF30,0)</f>
        <v>0</v>
      </c>
      <c r="IT30"/>
      <c r="IU30"/>
      <c r="IV30"/>
    </row>
    <row r="31" spans="1:256" s="155" customFormat="1" ht="9" customHeight="1">
      <c r="A31" s="189" t="s">
        <v>117</v>
      </c>
      <c r="B31" s="192"/>
      <c r="C31" s="134" t="s">
        <v>56</v>
      </c>
      <c r="D31" s="134">
        <v>-10</v>
      </c>
      <c r="E31" s="150">
        <v>17</v>
      </c>
      <c r="F31" s="135">
        <f>(Kr___0+4*Ges)/5</f>
        <v>75</v>
      </c>
      <c r="G31" s="135">
        <f>IF(F31&lt;50,450-6*F31,IF(F31&lt;100,250-2*F31,75-F31/4))</f>
        <v>100</v>
      </c>
      <c r="H31" s="136">
        <f>G31*E31/100</f>
        <v>17</v>
      </c>
      <c r="I31" s="134">
        <f>E31*$Q$15/200</f>
        <v>8.5</v>
      </c>
      <c r="J31" s="131" t="s">
        <v>118</v>
      </c>
      <c r="K31" s="132"/>
      <c r="L31" s="133"/>
      <c r="M31" s="134" t="s">
        <v>56</v>
      </c>
      <c r="N31" s="134">
        <v>40</v>
      </c>
      <c r="O31" s="134">
        <v>50</v>
      </c>
      <c r="P31" s="135">
        <f>Kom</f>
        <v>75</v>
      </c>
      <c r="Q31" s="135">
        <f>IF(P31&lt;50,450-6*P31,IF(P31&lt;100,250-2*P31,75-P31/4))</f>
        <v>100</v>
      </c>
      <c r="R31" s="136">
        <f>Q31*O31/100</f>
        <v>50</v>
      </c>
      <c r="S31" s="120"/>
      <c r="T31" s="191"/>
      <c r="U31" s="182" t="s">
        <v>117</v>
      </c>
      <c r="V31" s="194"/>
      <c r="W31" s="139"/>
      <c r="X31" s="140">
        <f>IF(W31&gt;0,INDEX(lerntab___0,W31,1),0)</f>
        <v>0</v>
      </c>
      <c r="Y31" s="141">
        <f>IF(W31&gt;Z32,ROUND(X31*H31,0),ROUND(X31*H31+(AM32-X31)*I31,0))</f>
        <v>0</v>
      </c>
      <c r="Z31" s="188"/>
      <c r="AA31" s="131" t="s">
        <v>118</v>
      </c>
      <c r="AB31" s="137"/>
      <c r="AC31" s="138"/>
      <c r="AD31" s="139"/>
      <c r="AE31" s="140">
        <f>IF(AD31&gt;0,INDEX(lerntab___0,AD31,1),0)</f>
        <v>0</v>
      </c>
      <c r="AF31" s="141">
        <f>ROUND(AE31*R31,0)</f>
        <v>0</v>
      </c>
      <c r="AG31" s="142"/>
      <c r="AH31" s="120"/>
      <c r="AI31" s="166"/>
      <c r="AJ31" s="139"/>
      <c r="AK31" s="175"/>
      <c r="AM31" s="140">
        <f>IF(Z31&gt;0,INDEX(lerntab___0,Z31,1),0)</f>
        <v>0</v>
      </c>
      <c r="AN31" s="146">
        <f>IF(LEFT(C31,1)="A",Y31,0)</f>
        <v>0</v>
      </c>
      <c r="AO31" s="146">
        <f>IF(LEFT(C31,1)="K",Y31,0)</f>
        <v>0</v>
      </c>
      <c r="AP31" s="146">
        <f>IF(LEFT(C31,1)="M",Y31,0)</f>
        <v>0</v>
      </c>
      <c r="AQ31" s="146"/>
      <c r="AR31" s="146">
        <f>IF(LEFT(M31,1)="A",AF31,0)</f>
        <v>0</v>
      </c>
      <c r="AS31" s="146">
        <f>IF(LEFT(M31,1)="K",AF31,0)</f>
        <v>0</v>
      </c>
      <c r="AT31" s="146">
        <f>IF(LEFT(M31,1)="M",AF31,0)</f>
        <v>0</v>
      </c>
      <c r="IT31"/>
      <c r="IU31"/>
      <c r="IV31"/>
    </row>
    <row r="32" spans="1:256" s="155" customFormat="1" ht="9" customHeight="1">
      <c r="A32" s="189" t="s">
        <v>119</v>
      </c>
      <c r="B32" s="192" t="s">
        <v>119</v>
      </c>
      <c r="C32" s="134" t="s">
        <v>56</v>
      </c>
      <c r="D32" s="134">
        <v>-5</v>
      </c>
      <c r="E32" s="150">
        <v>16</v>
      </c>
      <c r="F32" s="135">
        <f>(3*Ges+2*Int)/5</f>
        <v>75</v>
      </c>
      <c r="G32" s="135">
        <f>IF(F32&lt;50,450-6*F32,IF(F32&lt;100,250-2*F32,75-F32/4))</f>
        <v>100</v>
      </c>
      <c r="H32" s="136">
        <f>G32*E32/100</f>
        <v>16</v>
      </c>
      <c r="I32" s="134">
        <f>E32*$Q$15/200</f>
        <v>8</v>
      </c>
      <c r="J32" s="131" t="s">
        <v>120</v>
      </c>
      <c r="K32" s="132"/>
      <c r="L32" s="133"/>
      <c r="M32" s="134" t="s">
        <v>56</v>
      </c>
      <c r="N32" s="134">
        <v>40</v>
      </c>
      <c r="O32" s="134">
        <v>18</v>
      </c>
      <c r="P32" s="135">
        <f>Kom</f>
        <v>75</v>
      </c>
      <c r="Q32" s="135">
        <f>IF(P32&lt;50,450-6*P32,IF(P32&lt;100,250-2*P32,75-P32/4))</f>
        <v>100</v>
      </c>
      <c r="R32" s="136">
        <f>Q32*O32/100</f>
        <v>18</v>
      </c>
      <c r="S32" s="120"/>
      <c r="T32" s="191"/>
      <c r="U32" s="182" t="s">
        <v>119</v>
      </c>
      <c r="V32" s="194"/>
      <c r="W32" s="139"/>
      <c r="X32" s="140">
        <f>IF(W32&gt;0,INDEX(lerntab___0,W32,1),0)</f>
        <v>0</v>
      </c>
      <c r="Y32" s="141">
        <f>IF(W32&gt;Z33,ROUND(X32*H32,0),ROUND(X32*H32+(AM33-X32)*I32,0))</f>
        <v>0</v>
      </c>
      <c r="Z32" s="188"/>
      <c r="AA32" s="131" t="s">
        <v>120</v>
      </c>
      <c r="AB32" s="137"/>
      <c r="AC32" s="138"/>
      <c r="AD32" s="139"/>
      <c r="AE32" s="140">
        <f>IF(AD32&gt;0,INDEX(lerntab___0,AD32,1),0)</f>
        <v>0</v>
      </c>
      <c r="AF32" s="141">
        <f>ROUND(AE32*R32,0)</f>
        <v>0</v>
      </c>
      <c r="AG32" s="142"/>
      <c r="AH32" s="120"/>
      <c r="AI32" s="166"/>
      <c r="AJ32" s="139"/>
      <c r="AK32" s="175"/>
      <c r="AM32" s="140">
        <f>IF(Z32&gt;0,INDEX(lerntab___0,Z32,1),0)</f>
        <v>0</v>
      </c>
      <c r="AN32" s="146">
        <f>IF(LEFT(C32,1)="A",Y32,0)</f>
        <v>0</v>
      </c>
      <c r="AO32" s="146">
        <f>IF(LEFT(C32,1)="K",Y32,0)</f>
        <v>0</v>
      </c>
      <c r="AP32" s="146">
        <f>IF(LEFT(C32,1)="M",Y32,0)</f>
        <v>0</v>
      </c>
      <c r="AQ32" s="146"/>
      <c r="AR32" s="146">
        <f>IF(LEFT(M32,1)="A",AF32,0)</f>
        <v>0</v>
      </c>
      <c r="AS32" s="146">
        <f>IF(LEFT(M32,1)="K",AF32,0)</f>
        <v>0</v>
      </c>
      <c r="AT32" s="146">
        <f>IF(LEFT(M32,1)="M",AF32,0)</f>
        <v>0</v>
      </c>
      <c r="IT32"/>
      <c r="IU32"/>
      <c r="IV32"/>
    </row>
    <row r="33" spans="1:256" s="155" customFormat="1" ht="9" customHeight="1">
      <c r="A33" s="147" t="s">
        <v>121</v>
      </c>
      <c r="B33" s="192"/>
      <c r="C33" s="134" t="s">
        <v>56</v>
      </c>
      <c r="D33" s="134" t="s">
        <v>97</v>
      </c>
      <c r="E33" s="150">
        <v>23</v>
      </c>
      <c r="F33" s="135">
        <f>(2*Ges+2*Int+Kom)/5</f>
        <v>75</v>
      </c>
      <c r="G33" s="135">
        <f>IF(F33&lt;50,450-6*F33,IF(F33&lt;100,250-2*F33,75-F33/4))</f>
        <v>100</v>
      </c>
      <c r="H33" s="136">
        <f>G33*E33/100</f>
        <v>23</v>
      </c>
      <c r="I33" s="134">
        <f>E33*$Q$15/200</f>
        <v>11.5</v>
      </c>
      <c r="J33" s="131" t="s">
        <v>122</v>
      </c>
      <c r="K33" s="132"/>
      <c r="L33" s="133"/>
      <c r="M33" s="134" t="s">
        <v>56</v>
      </c>
      <c r="N33" s="134">
        <v>40</v>
      </c>
      <c r="O33" s="134">
        <v>32</v>
      </c>
      <c r="P33" s="135">
        <f>Kom</f>
        <v>75</v>
      </c>
      <c r="Q33" s="135">
        <f>IF(P33&lt;50,450-6*P33,IF(P33&lt;100,250-2*P33,75-P33/4))</f>
        <v>100</v>
      </c>
      <c r="R33" s="136">
        <f>Q33*O33/100</f>
        <v>32</v>
      </c>
      <c r="S33" s="120"/>
      <c r="T33" s="187" t="s">
        <v>121</v>
      </c>
      <c r="U33" s="194"/>
      <c r="V33" s="194"/>
      <c r="W33" s="139"/>
      <c r="X33" s="140">
        <f>IF(W33&gt;0,INDEX(lerntab___0,W33,1),0)</f>
        <v>0</v>
      </c>
      <c r="Y33" s="141">
        <f>IF(W33&gt;Z35,ROUND(X33*H33,0),ROUND(X33*H33+(AM35-X33)*I33,0))</f>
        <v>0</v>
      </c>
      <c r="Z33" s="188"/>
      <c r="AA33" s="131" t="s">
        <v>122</v>
      </c>
      <c r="AB33" s="137"/>
      <c r="AC33" s="138"/>
      <c r="AD33" s="139"/>
      <c r="AE33" s="140">
        <f>IF(AD33&gt;0,INDEX(lerntab___0,AD33,1),0)</f>
        <v>0</v>
      </c>
      <c r="AF33" s="141">
        <f>ROUND(AE33*R33,0)</f>
        <v>0</v>
      </c>
      <c r="AG33" s="142"/>
      <c r="AH33" s="120"/>
      <c r="AI33" s="166"/>
      <c r="AJ33" s="139"/>
      <c r="AK33" s="175"/>
      <c r="AM33" s="140">
        <f>IF(Z33&gt;0,INDEX(lerntab___0,Z33,1),0)</f>
        <v>0</v>
      </c>
      <c r="AN33" s="146">
        <f>IF(LEFT(C33,1)="A",Y33,0)</f>
        <v>0</v>
      </c>
      <c r="AO33" s="146">
        <f>IF(LEFT(C33,1)="K",Y33,0)</f>
        <v>0</v>
      </c>
      <c r="AP33" s="146">
        <f>IF(LEFT(C33,1)="M",Y33,0)</f>
        <v>0</v>
      </c>
      <c r="AQ33" s="146"/>
      <c r="AR33" s="146">
        <f>IF(LEFT(M33,1)="A",AF33,0)</f>
        <v>0</v>
      </c>
      <c r="AS33" s="146">
        <f>IF(LEFT(M33,1)="K",AF33,0)</f>
        <v>0</v>
      </c>
      <c r="AT33" s="146">
        <f>IF(LEFT(M33,1)="M",AF33,0)</f>
        <v>0</v>
      </c>
      <c r="IT33"/>
      <c r="IU33"/>
      <c r="IV33"/>
    </row>
    <row r="34" spans="1:256" s="155" customFormat="1" ht="9" customHeight="1">
      <c r="A34" s="189" t="s">
        <v>123</v>
      </c>
      <c r="B34" s="192"/>
      <c r="C34" s="134" t="s">
        <v>56</v>
      </c>
      <c r="D34" s="134">
        <v>10</v>
      </c>
      <c r="E34" s="150">
        <v>19</v>
      </c>
      <c r="F34" s="135">
        <f>(2*Ges+2*Int+Kom)/5</f>
        <v>75</v>
      </c>
      <c r="G34" s="135">
        <f>IF(F34&lt;50,450-6*F34,IF(F34&lt;100,250-2*F34,75-F34/4))</f>
        <v>100</v>
      </c>
      <c r="H34" s="136">
        <f>G34*E34/100</f>
        <v>19</v>
      </c>
      <c r="I34" s="134">
        <f>E34*$Q$15/200</f>
        <v>9.5</v>
      </c>
      <c r="J34" s="131" t="s">
        <v>124</v>
      </c>
      <c r="K34" s="132"/>
      <c r="L34" s="133"/>
      <c r="M34" s="134" t="s">
        <v>56</v>
      </c>
      <c r="N34" s="134">
        <v>40</v>
      </c>
      <c r="O34" s="134">
        <v>14</v>
      </c>
      <c r="P34" s="135">
        <f>Kom</f>
        <v>75</v>
      </c>
      <c r="Q34" s="135">
        <f>IF(P34&lt;50,450-6*P34,IF(P34&lt;100,250-2*P34,75-P34/4))</f>
        <v>100</v>
      </c>
      <c r="R34" s="136">
        <f>Q34*O34/100</f>
        <v>14</v>
      </c>
      <c r="S34" s="120"/>
      <c r="T34" s="191"/>
      <c r="U34" s="182" t="s">
        <v>123</v>
      </c>
      <c r="V34" s="194"/>
      <c r="W34" s="139"/>
      <c r="X34" s="140">
        <f>IF(W34&gt;0,INDEX(lerntab___0,W34,1),0)</f>
        <v>0</v>
      </c>
      <c r="Y34" s="141">
        <f>IF(W34&gt;Z36,ROUND(X34*H34,0),ROUND(X34*H34+(AM36-X34)*I34,0))</f>
        <v>0</v>
      </c>
      <c r="Z34" s="188"/>
      <c r="AA34" s="131" t="s">
        <v>124</v>
      </c>
      <c r="AB34" s="137"/>
      <c r="AC34" s="138"/>
      <c r="AD34" s="139"/>
      <c r="AE34" s="140">
        <f>IF(AD34&gt;0,INDEX(lerntab___0,AD34,1),0)</f>
        <v>0</v>
      </c>
      <c r="AF34" s="141">
        <f>ROUND(AE34*R34,0)</f>
        <v>0</v>
      </c>
      <c r="AG34" s="142"/>
      <c r="AH34" s="120"/>
      <c r="AI34" s="166"/>
      <c r="AJ34" s="139"/>
      <c r="AK34" s="175"/>
      <c r="AM34" s="140"/>
      <c r="AN34" s="146">
        <f>IF(LEFT(C34,1)="A",Y34,0)</f>
        <v>0</v>
      </c>
      <c r="AO34" s="146">
        <f>IF(LEFT(C34,1)="K",Y34,0)</f>
        <v>0</v>
      </c>
      <c r="AP34" s="146">
        <f>IF(LEFT(C34,1)="M",Y34,0)</f>
        <v>0</v>
      </c>
      <c r="AQ34" s="146"/>
      <c r="AR34" s="146">
        <f>IF(LEFT(M34,1)="A",AF34,0)</f>
        <v>0</v>
      </c>
      <c r="AS34" s="146">
        <f>IF(LEFT(M34,1)="K",AF34,0)</f>
        <v>0</v>
      </c>
      <c r="AT34" s="146">
        <f>IF(LEFT(M34,1)="M",AF34,0)</f>
        <v>0</v>
      </c>
      <c r="IT34"/>
      <c r="IU34"/>
      <c r="IV34"/>
    </row>
    <row r="35" spans="1:256" s="155" customFormat="1" ht="9" customHeight="1">
      <c r="A35" s="189" t="s">
        <v>125</v>
      </c>
      <c r="B35" s="192"/>
      <c r="C35" s="134" t="s">
        <v>56</v>
      </c>
      <c r="D35" s="134">
        <v>10</v>
      </c>
      <c r="E35" s="150">
        <v>20</v>
      </c>
      <c r="F35" s="135">
        <f>(2*Ges+2*Int+Kom)/5</f>
        <v>75</v>
      </c>
      <c r="G35" s="135">
        <f>IF(F35&lt;50,450-6*F35,IF(F35&lt;100,250-2*F35,75-F35/4))</f>
        <v>100</v>
      </c>
      <c r="H35" s="136">
        <f>G35*E35/100</f>
        <v>20</v>
      </c>
      <c r="I35" s="134">
        <f>E35*$Q$15/200</f>
        <v>10</v>
      </c>
      <c r="J35" s="131" t="s">
        <v>126</v>
      </c>
      <c r="K35" s="132"/>
      <c r="L35" s="133"/>
      <c r="M35" s="134" t="s">
        <v>56</v>
      </c>
      <c r="N35" s="134">
        <v>40</v>
      </c>
      <c r="O35" s="134">
        <v>12</v>
      </c>
      <c r="P35" s="135">
        <f>Kom</f>
        <v>75</v>
      </c>
      <c r="Q35" s="135">
        <f>IF(P35&lt;50,450-6*P35,IF(P35&lt;100,250-2*P35,75-P35/4))</f>
        <v>100</v>
      </c>
      <c r="R35" s="136">
        <f>Q35*O35/100</f>
        <v>12</v>
      </c>
      <c r="S35" s="120"/>
      <c r="T35" s="191"/>
      <c r="U35" s="182" t="s">
        <v>125</v>
      </c>
      <c r="V35" s="194"/>
      <c r="W35" s="139"/>
      <c r="X35" s="140">
        <f>IF(W35&gt;0,INDEX(lerntab___0,W35,1),0)</f>
        <v>0</v>
      </c>
      <c r="Y35" s="141">
        <f>IF(W35&gt;Z37,ROUND(X35*H35,0),ROUND(X35*H35+(AM37-X35)*I35,0))</f>
        <v>0</v>
      </c>
      <c r="Z35" s="188"/>
      <c r="AA35" s="131" t="s">
        <v>126</v>
      </c>
      <c r="AB35" s="137"/>
      <c r="AC35" s="138"/>
      <c r="AD35" s="139"/>
      <c r="AE35" s="140">
        <f>IF(AD35&gt;0,INDEX(lerntab___0,AD35,1),0)</f>
        <v>0</v>
      </c>
      <c r="AF35" s="141">
        <f>ROUND(AE35*R35,0)</f>
        <v>0</v>
      </c>
      <c r="AG35" s="142"/>
      <c r="AH35" s="120"/>
      <c r="AI35" s="166"/>
      <c r="AJ35" s="139"/>
      <c r="AK35" s="175"/>
      <c r="AM35" s="140">
        <f>IF(Z35&gt;0,INDEX(lerntab___0,Z35,1),0)</f>
        <v>0</v>
      </c>
      <c r="AN35" s="146">
        <f>IF(LEFT(C35,1)="A",Y35,0)</f>
        <v>0</v>
      </c>
      <c r="AO35" s="146">
        <f>IF(LEFT(C35,1)="K",Y35,0)</f>
        <v>0</v>
      </c>
      <c r="AP35" s="146">
        <f>IF(LEFT(C35,1)="M",Y35,0)</f>
        <v>0</v>
      </c>
      <c r="AQ35" s="146"/>
      <c r="AR35" s="146">
        <f>IF(LEFT(M35,1)="A",AF35,0)</f>
        <v>0</v>
      </c>
      <c r="AS35" s="146">
        <f>IF(LEFT(M35,1)="K",AF35,0)</f>
        <v>0</v>
      </c>
      <c r="AT35" s="146">
        <f>IF(LEFT(M35,1)="M",AF35,0)</f>
        <v>0</v>
      </c>
      <c r="IT35"/>
      <c r="IU35"/>
      <c r="IV35"/>
    </row>
    <row r="36" spans="1:256" s="155" customFormat="1" ht="9" customHeight="1">
      <c r="A36" s="189" t="s">
        <v>127</v>
      </c>
      <c r="B36" s="192"/>
      <c r="C36" s="134" t="s">
        <v>56</v>
      </c>
      <c r="D36" s="134">
        <v>10</v>
      </c>
      <c r="E36" s="150">
        <v>18</v>
      </c>
      <c r="F36" s="135">
        <f>(2*Ges+2*Int+Kom)/5</f>
        <v>75</v>
      </c>
      <c r="G36" s="135">
        <f>IF(F36&lt;50,450-6*F36,IF(F36&lt;100,250-2*F36,75-F36/4))</f>
        <v>100</v>
      </c>
      <c r="H36" s="136">
        <f>G36*E36/100</f>
        <v>18</v>
      </c>
      <c r="I36" s="134">
        <f>E36*$Q$15/200</f>
        <v>9</v>
      </c>
      <c r="J36" s="131" t="s">
        <v>128</v>
      </c>
      <c r="K36" s="132"/>
      <c r="L36" s="133"/>
      <c r="M36" s="134" t="s">
        <v>56</v>
      </c>
      <c r="N36" s="134">
        <v>40</v>
      </c>
      <c r="O36" s="134"/>
      <c r="P36" s="195" t="s">
        <v>129</v>
      </c>
      <c r="Q36" s="135">
        <f>Q35</f>
        <v>100</v>
      </c>
      <c r="R36" s="136"/>
      <c r="S36" s="120"/>
      <c r="T36" s="191"/>
      <c r="U36" s="182" t="s">
        <v>127</v>
      </c>
      <c r="V36" s="194"/>
      <c r="W36" s="139"/>
      <c r="X36" s="140">
        <f>IF(W36&gt;0,INDEX(lerntab___0,W36,1),0)</f>
        <v>0</v>
      </c>
      <c r="Y36" s="141">
        <f>IF(W36&gt;Z38,ROUND(X36*H36,0),ROUND(X36*H36+(AM38-X36)*I36,0))</f>
        <v>0</v>
      </c>
      <c r="Z36" s="188"/>
      <c r="AA36" s="131" t="s">
        <v>128</v>
      </c>
      <c r="AB36" s="137"/>
      <c r="AC36" s="138"/>
      <c r="AD36" s="196"/>
      <c r="AE36" s="140">
        <f>IF(AD36&gt;0,INDEX(lerntab___0,AD36,1),0)</f>
        <v>0</v>
      </c>
      <c r="AF36" s="141">
        <f>ROUND(AE36*R36,0)</f>
        <v>0</v>
      </c>
      <c r="AG36" s="142"/>
      <c r="AH36" s="120"/>
      <c r="AI36" s="166"/>
      <c r="AJ36" s="139"/>
      <c r="AK36" s="175"/>
      <c r="AM36" s="140">
        <f>IF(Z36&gt;0,INDEX(lerntab___0,Z36,1),0)</f>
        <v>0</v>
      </c>
      <c r="AN36" s="146">
        <f>IF(LEFT(C36,1)="A",Y36,0)</f>
        <v>0</v>
      </c>
      <c r="AO36" s="146">
        <f>IF(LEFT(C36,1)="K",Y36,0)</f>
        <v>0</v>
      </c>
      <c r="AP36" s="146">
        <f>IF(LEFT(C36,1)="M",Y36,0)</f>
        <v>0</v>
      </c>
      <c r="AQ36" s="146"/>
      <c r="AR36" s="146">
        <f>IF(LEFT(M36,1)="A",AF36,0)</f>
        <v>0</v>
      </c>
      <c r="AS36" s="146">
        <f>IF(LEFT(M36,1)="K",AF36,0)</f>
        <v>0</v>
      </c>
      <c r="AT36" s="146">
        <f>IF(LEFT(M36,1)="M",AF36,0)</f>
        <v>0</v>
      </c>
      <c r="IT36"/>
      <c r="IU36"/>
      <c r="IV36"/>
    </row>
    <row r="37" spans="1:256" s="155" customFormat="1" ht="9" customHeight="1">
      <c r="A37" s="147" t="s">
        <v>130</v>
      </c>
      <c r="B37" s="192"/>
      <c r="C37" s="134" t="s">
        <v>56</v>
      </c>
      <c r="D37" s="134" t="s">
        <v>97</v>
      </c>
      <c r="E37" s="150">
        <v>18</v>
      </c>
      <c r="F37" s="135">
        <f>(2*Kr___0+2*Kons+Int)/5</f>
        <v>75</v>
      </c>
      <c r="G37" s="135">
        <f>IF(F37&lt;50,450-6*F37,IF(F37&lt;100,250-2*F37,75-F37/4))</f>
        <v>100</v>
      </c>
      <c r="H37" s="136">
        <f>G37*E37/100</f>
        <v>18</v>
      </c>
      <c r="I37" s="134">
        <f>E37*$Q$15/200</f>
        <v>9</v>
      </c>
      <c r="J37" s="131" t="s">
        <v>131</v>
      </c>
      <c r="K37" s="132"/>
      <c r="L37" s="133"/>
      <c r="M37" s="134" t="s">
        <v>56</v>
      </c>
      <c r="N37" s="134">
        <v>40</v>
      </c>
      <c r="O37" s="134">
        <v>50</v>
      </c>
      <c r="P37" s="135">
        <f>Kom</f>
        <v>75</v>
      </c>
      <c r="Q37" s="135">
        <f>IF(P37&lt;50,450-6*P37,IF(P37&lt;100,250-2*P37,75-P37/4))</f>
        <v>100</v>
      </c>
      <c r="R37" s="136">
        <f>Q37*O37/100</f>
        <v>50</v>
      </c>
      <c r="S37" s="120"/>
      <c r="T37" s="187" t="s">
        <v>130</v>
      </c>
      <c r="U37" s="194"/>
      <c r="V37" s="194"/>
      <c r="W37" s="139"/>
      <c r="X37" s="140">
        <f>IF(W37&gt;0,INDEX(lerntab___0,W37,1),0)</f>
        <v>0</v>
      </c>
      <c r="Y37" s="141">
        <f>IF(W37&gt;Z39,ROUND(X37*H37,0),ROUND(X37*H37+(AM39-X37)*I37,0))</f>
        <v>0</v>
      </c>
      <c r="Z37" s="188"/>
      <c r="AA37" s="131" t="s">
        <v>131</v>
      </c>
      <c r="AB37" s="137"/>
      <c r="AC37" s="138"/>
      <c r="AD37" s="139"/>
      <c r="AE37" s="140">
        <f>IF(AD37&gt;0,INDEX(lerntab___0,AD37,1),0)</f>
        <v>0</v>
      </c>
      <c r="AF37" s="141">
        <f>ROUND(AE37*R37,0)</f>
        <v>0</v>
      </c>
      <c r="AG37" s="142"/>
      <c r="AH37" s="120"/>
      <c r="AI37" s="166"/>
      <c r="AJ37" s="139"/>
      <c r="AK37" s="175"/>
      <c r="AM37" s="140">
        <f>IF(Z37&gt;0,INDEX(lerntab___0,Z37,1),0)</f>
        <v>0</v>
      </c>
      <c r="AN37" s="146">
        <f>IF(LEFT(C37,1)="A",Y37,0)</f>
        <v>0</v>
      </c>
      <c r="AO37" s="146">
        <f>IF(LEFT(C37,1)="K",Y37,0)</f>
        <v>0</v>
      </c>
      <c r="AP37" s="146">
        <f>IF(LEFT(C37,1)="M",Y37,0)</f>
        <v>0</v>
      </c>
      <c r="AQ37" s="146"/>
      <c r="AR37" s="146">
        <f>IF(LEFT(M37,1)="A",AF37,0)</f>
        <v>0</v>
      </c>
      <c r="AS37" s="146">
        <f>IF(LEFT(M37,1)="K",AF37,0)</f>
        <v>0</v>
      </c>
      <c r="AT37" s="146">
        <f>IF(LEFT(M37,1)="M",AF37,0)</f>
        <v>0</v>
      </c>
      <c r="IT37"/>
      <c r="IU37"/>
      <c r="IV37"/>
    </row>
    <row r="38" spans="1:256" s="155" customFormat="1" ht="9" customHeight="1">
      <c r="A38" s="189" t="s">
        <v>132</v>
      </c>
      <c r="B38" s="192"/>
      <c r="C38" s="134" t="s">
        <v>56</v>
      </c>
      <c r="D38" s="134">
        <v>5</v>
      </c>
      <c r="E38" s="150">
        <v>18</v>
      </c>
      <c r="F38" s="135">
        <f>(3*Kons+2*Int)/5</f>
        <v>75</v>
      </c>
      <c r="G38" s="135">
        <f>IF(F38&lt;50,450-6*F38,IF(F38&lt;100,250-2*F38,75-F38/4))</f>
        <v>100</v>
      </c>
      <c r="H38" s="136">
        <f>G38*E38/100</f>
        <v>18</v>
      </c>
      <c r="I38" s="134">
        <f>E38*$Q$15/200</f>
        <v>9</v>
      </c>
      <c r="J38" s="131" t="s">
        <v>133</v>
      </c>
      <c r="K38" s="132"/>
      <c r="L38" s="133"/>
      <c r="M38" s="134" t="s">
        <v>56</v>
      </c>
      <c r="N38" s="134">
        <v>40</v>
      </c>
      <c r="O38" s="134">
        <v>18</v>
      </c>
      <c r="P38" s="135">
        <f>Kom</f>
        <v>75</v>
      </c>
      <c r="Q38" s="135">
        <f>IF(P38&lt;50,450-6*P38,IF(P38&lt;100,250-2*P38,75-P38/4))</f>
        <v>100</v>
      </c>
      <c r="R38" s="136">
        <f>Q38*O38/100</f>
        <v>18</v>
      </c>
      <c r="S38" s="120"/>
      <c r="T38" s="191"/>
      <c r="U38" s="182" t="s">
        <v>132</v>
      </c>
      <c r="V38" s="194"/>
      <c r="W38" s="139"/>
      <c r="X38" s="140">
        <f>IF(W38&gt;0,INDEX(lerntab___0,W38,1),0)</f>
        <v>0</v>
      </c>
      <c r="Y38" s="141">
        <f>IF(W38&gt;Z40,ROUND(X38*H38,0),ROUND(X38*H38+(AM40-X38)*I38,0))</f>
        <v>0</v>
      </c>
      <c r="Z38" s="188"/>
      <c r="AA38" s="131" t="s">
        <v>133</v>
      </c>
      <c r="AB38" s="137"/>
      <c r="AC38" s="138"/>
      <c r="AD38" s="139"/>
      <c r="AE38" s="140">
        <f>IF(AD38&gt;0,INDEX(lerntab___0,AD38,1),0)</f>
        <v>0</v>
      </c>
      <c r="AF38" s="141">
        <f>ROUND(AE38*R38,0)</f>
        <v>0</v>
      </c>
      <c r="AG38" s="142"/>
      <c r="AH38" s="120"/>
      <c r="AI38" s="166"/>
      <c r="AJ38" s="139"/>
      <c r="AK38" s="175"/>
      <c r="AM38" s="140">
        <f>IF(Z38&gt;0,INDEX(lerntab___0,Z38,1),0)</f>
        <v>0</v>
      </c>
      <c r="AN38" s="146">
        <f>IF(LEFT(C38,1)="A",Y38,0)</f>
        <v>0</v>
      </c>
      <c r="AO38" s="146">
        <f>IF(LEFT(C38,1)="K",Y38,0)</f>
        <v>0</v>
      </c>
      <c r="AP38" s="146">
        <f>IF(LEFT(C38,1)="M",Y38,0)</f>
        <v>0</v>
      </c>
      <c r="AQ38" s="146"/>
      <c r="AR38" s="146">
        <f>IF(LEFT(M38,1)="A",AF38,0)</f>
        <v>0</v>
      </c>
      <c r="AS38" s="146">
        <f>IF(LEFT(M38,1)="K",AF38,0)</f>
        <v>0</v>
      </c>
      <c r="AT38" s="146">
        <f>IF(LEFT(M38,1)="M",AF38,0)</f>
        <v>0</v>
      </c>
      <c r="IT38"/>
      <c r="IU38"/>
      <c r="IV38"/>
    </row>
    <row r="39" spans="1:256" s="155" customFormat="1" ht="9" customHeight="1">
      <c r="A39" s="189" t="s">
        <v>134</v>
      </c>
      <c r="B39" s="192"/>
      <c r="C39" s="134" t="s">
        <v>56</v>
      </c>
      <c r="D39" s="134">
        <v>0</v>
      </c>
      <c r="E39" s="150">
        <v>20</v>
      </c>
      <c r="F39" s="135">
        <f>(2*Ges+3*Int)/5</f>
        <v>75</v>
      </c>
      <c r="G39" s="135">
        <f>IF(F39&lt;50,450-6*F39,IF(F39&lt;100,250-2*F39,75-F39/4))</f>
        <v>100</v>
      </c>
      <c r="H39" s="136">
        <f>G39*E39/100</f>
        <v>20</v>
      </c>
      <c r="I39" s="134">
        <f>E39*$Q$15/200</f>
        <v>10</v>
      </c>
      <c r="J39" s="131" t="s">
        <v>135</v>
      </c>
      <c r="K39" s="132"/>
      <c r="L39" s="133"/>
      <c r="M39" s="134" t="s">
        <v>56</v>
      </c>
      <c r="N39" s="134">
        <v>40</v>
      </c>
      <c r="O39" s="134">
        <v>18</v>
      </c>
      <c r="P39" s="135">
        <f>Kom</f>
        <v>75</v>
      </c>
      <c r="Q39" s="135">
        <f>IF(P39&lt;50,450-6*P39,IF(P39&lt;100,250-2*P39,75-P39/4))</f>
        <v>100</v>
      </c>
      <c r="R39" s="136">
        <f>Q39*O39/100</f>
        <v>18</v>
      </c>
      <c r="S39" s="120"/>
      <c r="T39" s="191"/>
      <c r="U39" s="182" t="s">
        <v>134</v>
      </c>
      <c r="V39" s="194"/>
      <c r="W39" s="139"/>
      <c r="X39" s="140">
        <f>IF(W39&gt;0,INDEX(lerntab___0,W39,1),0)</f>
        <v>0</v>
      </c>
      <c r="Y39" s="141">
        <f>IF(W39&gt;Z41,ROUND(X39*H39,0),ROUND(X39*H39+(AM41-X39)*I39,0))</f>
        <v>0</v>
      </c>
      <c r="Z39" s="188"/>
      <c r="AA39" s="131" t="s">
        <v>135</v>
      </c>
      <c r="AB39" s="137"/>
      <c r="AC39" s="138"/>
      <c r="AD39" s="139"/>
      <c r="AE39" s="140">
        <f>IF(AD39&gt;0,INDEX(lerntab___0,AD39,1),0)</f>
        <v>0</v>
      </c>
      <c r="AF39" s="141">
        <f>ROUND(AE39*R39,0)</f>
        <v>0</v>
      </c>
      <c r="AG39" s="142"/>
      <c r="AH39" s="120"/>
      <c r="AI39" s="166"/>
      <c r="AJ39" s="139"/>
      <c r="AK39" s="175"/>
      <c r="AM39" s="140">
        <f>IF(Z39&gt;0,INDEX(lerntab___0,Z39,1),0)</f>
        <v>0</v>
      </c>
      <c r="AN39" s="146">
        <f>IF(LEFT(C39,1)="A",Y39,0)</f>
        <v>0</v>
      </c>
      <c r="AO39" s="146">
        <f>IF(LEFT(C39,1)="K",Y39,0)</f>
        <v>0</v>
      </c>
      <c r="AP39" s="146">
        <f>IF(LEFT(C39,1)="M",Y39,0)</f>
        <v>0</v>
      </c>
      <c r="AQ39" s="146"/>
      <c r="AR39" s="146">
        <f>IF(LEFT(M39,1)="A",AF39,0)</f>
        <v>0</v>
      </c>
      <c r="AS39" s="146">
        <f>IF(LEFT(M39,1)="K",AF39,0)</f>
        <v>0</v>
      </c>
      <c r="AT39" s="146">
        <f>IF(LEFT(M39,1)="M",AF39,0)</f>
        <v>0</v>
      </c>
      <c r="IT39"/>
      <c r="IU39"/>
      <c r="IV39"/>
    </row>
    <row r="40" spans="1:256" s="155" customFormat="1" ht="9" customHeight="1">
      <c r="A40" s="189" t="s">
        <v>136</v>
      </c>
      <c r="B40" s="192"/>
      <c r="C40" s="134" t="s">
        <v>56</v>
      </c>
      <c r="D40" s="134">
        <v>-5</v>
      </c>
      <c r="E40" s="150">
        <v>10</v>
      </c>
      <c r="F40" s="135">
        <f>(3*Ges+2*Int)/5</f>
        <v>75</v>
      </c>
      <c r="G40" s="135">
        <f>IF(F40&lt;50,450-6*F40,IF(F40&lt;100,250-2*F40,75-F40/4))</f>
        <v>100</v>
      </c>
      <c r="H40" s="136">
        <f>G40*E40/100</f>
        <v>10</v>
      </c>
      <c r="I40" s="134">
        <f>E40*$Q$15/200</f>
        <v>5</v>
      </c>
      <c r="J40" s="131" t="s">
        <v>137</v>
      </c>
      <c r="K40" s="132"/>
      <c r="L40" s="133"/>
      <c r="M40" s="134" t="s">
        <v>75</v>
      </c>
      <c r="N40" s="134">
        <v>40</v>
      </c>
      <c r="O40" s="134">
        <v>40</v>
      </c>
      <c r="P40" s="135">
        <f>Kom</f>
        <v>75</v>
      </c>
      <c r="Q40" s="135">
        <f>IF(P40&lt;50,450-6*P40,IF(P40&lt;100,250-2*P40,75-P40/4))</f>
        <v>100</v>
      </c>
      <c r="R40" s="136">
        <f>Q40*O40/100</f>
        <v>40</v>
      </c>
      <c r="S40" s="120"/>
      <c r="T40" s="191"/>
      <c r="U40" s="182" t="s">
        <v>136</v>
      </c>
      <c r="V40" s="194"/>
      <c r="W40" s="139"/>
      <c r="X40" s="140">
        <f>IF(W40&gt;0,INDEX(lerntab___0,W40,1),0)</f>
        <v>0</v>
      </c>
      <c r="Y40" s="141">
        <f>IF(W40&gt;Z42,ROUND(X40*H40,0),ROUND(X40*H40+(AM42-X40)*I40,0))</f>
        <v>0</v>
      </c>
      <c r="Z40" s="188"/>
      <c r="AA40" s="131" t="s">
        <v>137</v>
      </c>
      <c r="AB40" s="137"/>
      <c r="AC40" s="138"/>
      <c r="AD40" s="139"/>
      <c r="AE40" s="140">
        <f>IF(AD40&gt;0,INDEX(lerntab___0,AD40,1),0)</f>
        <v>0</v>
      </c>
      <c r="AF40" s="141">
        <f>ROUND(AE40*R40,0)</f>
        <v>0</v>
      </c>
      <c r="AG40" s="142"/>
      <c r="AH40" s="120"/>
      <c r="AI40" s="166"/>
      <c r="AJ40" s="139"/>
      <c r="AK40" s="175"/>
      <c r="AM40" s="140">
        <f>IF(Z40&gt;0,INDEX(lerntab___0,Z40,1),0)</f>
        <v>0</v>
      </c>
      <c r="AN40" s="146">
        <f>IF(LEFT(C40,1)="A",Y40,0)</f>
        <v>0</v>
      </c>
      <c r="AO40" s="146">
        <f>IF(LEFT(C40,1)="K",Y40,0)</f>
        <v>0</v>
      </c>
      <c r="AP40" s="146">
        <f>IF(LEFT(C40,1)="M",Y40,0)</f>
        <v>0</v>
      </c>
      <c r="AQ40" s="146"/>
      <c r="AR40" s="146">
        <f>IF(LEFT(M40,1)="A",AF40,0)</f>
        <v>0</v>
      </c>
      <c r="AS40" s="146">
        <f>IF(LEFT(M40,1)="K",AF40,0)</f>
        <v>0</v>
      </c>
      <c r="AT40" s="146">
        <f>IF(LEFT(M40,1)="M",AF40,0)</f>
        <v>0</v>
      </c>
      <c r="IT40"/>
      <c r="IU40"/>
      <c r="IV40"/>
    </row>
    <row r="41" spans="1:256" s="155" customFormat="1" ht="9" customHeight="1">
      <c r="A41" s="189" t="s">
        <v>138</v>
      </c>
      <c r="B41" s="192"/>
      <c r="C41" s="134" t="s">
        <v>56</v>
      </c>
      <c r="D41" s="134">
        <v>-10</v>
      </c>
      <c r="E41" s="150">
        <v>19</v>
      </c>
      <c r="F41" s="135">
        <f>(3*Kr___0+2*Int)/5</f>
        <v>75</v>
      </c>
      <c r="G41" s="135">
        <f>IF(F41&lt;50,450-6*F41,IF(F41&lt;100,250-2*F41,75-F41/4))</f>
        <v>100</v>
      </c>
      <c r="H41" s="136">
        <f>G41*E41/100</f>
        <v>19</v>
      </c>
      <c r="I41" s="134">
        <f>E41*$Q$15/200</f>
        <v>9.5</v>
      </c>
      <c r="J41" s="197" t="s">
        <v>139</v>
      </c>
      <c r="K41" s="198"/>
      <c r="L41" s="198"/>
      <c r="M41" s="182"/>
      <c r="N41" s="182"/>
      <c r="O41" s="182"/>
      <c r="P41" s="199"/>
      <c r="Q41" s="199"/>
      <c r="R41" s="200"/>
      <c r="S41" s="120"/>
      <c r="T41" s="191"/>
      <c r="U41" s="182" t="s">
        <v>138</v>
      </c>
      <c r="V41" s="194"/>
      <c r="W41" s="139"/>
      <c r="X41" s="140">
        <f>IF(W41&gt;0,INDEX(lerntab___0,W41,1),0)</f>
        <v>0</v>
      </c>
      <c r="Y41" s="141">
        <f>IF(W41&gt;Z43,ROUND(X41*H41,0),ROUND(X41*H41+(AM43-X41)*I41,0))</f>
        <v>0</v>
      </c>
      <c r="Z41" s="188"/>
      <c r="AA41" s="197" t="s">
        <v>139</v>
      </c>
      <c r="AB41" s="127"/>
      <c r="AC41" s="127"/>
      <c r="AD41" s="181"/>
      <c r="AE41" s="182"/>
      <c r="AF41" s="183"/>
      <c r="AG41" s="142"/>
      <c r="AH41" s="120"/>
      <c r="AI41" s="166"/>
      <c r="AJ41" s="139"/>
      <c r="AK41" s="175"/>
      <c r="AM41" s="140">
        <f>IF(Z41&gt;0,INDEX(lerntab___0,Z41,1),0)</f>
        <v>0</v>
      </c>
      <c r="AN41" s="146">
        <f>IF(LEFT(C41,1)="A",Y41,0)</f>
        <v>0</v>
      </c>
      <c r="AO41" s="146">
        <f>IF(LEFT(C41,1)="K",Y41,0)</f>
        <v>0</v>
      </c>
      <c r="AP41" s="146">
        <f>IF(LEFT(C41,1)="M",Y41,0)</f>
        <v>0</v>
      </c>
      <c r="AQ41" s="146"/>
      <c r="AR41" s="146">
        <f>IF(LEFT(M41,1)="A",AF41,0)</f>
        <v>0</v>
      </c>
      <c r="AS41" s="146">
        <f>IF(LEFT(M41,1)="K",AF41,0)</f>
        <v>0</v>
      </c>
      <c r="AT41" s="146">
        <f>IF(LEFT(M41,1)="M",AF41,0)</f>
        <v>0</v>
      </c>
      <c r="IT41"/>
      <c r="IU41"/>
      <c r="IV41"/>
    </row>
    <row r="42" spans="1:256" s="155" customFormat="1" ht="9" customHeight="1">
      <c r="A42" s="189" t="s">
        <v>140</v>
      </c>
      <c r="B42" s="192"/>
      <c r="C42" s="134" t="s">
        <v>56</v>
      </c>
      <c r="D42" s="134">
        <v>5</v>
      </c>
      <c r="E42" s="150">
        <v>18</v>
      </c>
      <c r="F42" s="135">
        <f>(3*Kr___0+2*Ges)/5</f>
        <v>75</v>
      </c>
      <c r="G42" s="135">
        <f>IF(F42&lt;50,450-6*F42,IF(F42&lt;100,250-2*F42,75-F42/4))</f>
        <v>100</v>
      </c>
      <c r="H42" s="136">
        <f>G42*E42/100</f>
        <v>18</v>
      </c>
      <c r="I42" s="134">
        <f>E42*$Q$15/200</f>
        <v>9</v>
      </c>
      <c r="J42" s="131" t="s">
        <v>141</v>
      </c>
      <c r="K42" s="132"/>
      <c r="L42" s="133"/>
      <c r="M42" s="134" t="s">
        <v>142</v>
      </c>
      <c r="N42" s="134">
        <v>-10</v>
      </c>
      <c r="O42" s="134">
        <v>40</v>
      </c>
      <c r="P42" s="135">
        <f>(3*Ges+2*Schn___0)/5</f>
        <v>75</v>
      </c>
      <c r="Q42" s="135">
        <f>IF(P42&lt;50,450-6*P42,IF(P42&lt;100,250-2*P42,75-P42/4))</f>
        <v>100</v>
      </c>
      <c r="R42" s="136">
        <f>Q42*O42/100</f>
        <v>40</v>
      </c>
      <c r="S42" s="120"/>
      <c r="T42" s="191"/>
      <c r="U42" s="182" t="s">
        <v>140</v>
      </c>
      <c r="V42" s="194"/>
      <c r="W42" s="139"/>
      <c r="X42" s="140">
        <f>IF(W42&gt;0,INDEX(lerntab___0,W42,1),0)</f>
        <v>0</v>
      </c>
      <c r="Y42" s="141">
        <f>IF(W42&gt;Z44,ROUND(X42*H42,0),ROUND(X42*H42+(AM44-X42)*I42,0))</f>
        <v>0</v>
      </c>
      <c r="Z42" s="188"/>
      <c r="AA42" s="201" t="s">
        <v>143</v>
      </c>
      <c r="AB42" s="137"/>
      <c r="AC42" s="138"/>
      <c r="AD42" s="139"/>
      <c r="AE42" s="140">
        <f>IF(AD42&gt;0,INDEX(lerntab___0,AD42,1),0)</f>
        <v>0</v>
      </c>
      <c r="AF42" s="141">
        <f>ROUND(AE42*R42,0)</f>
        <v>0</v>
      </c>
      <c r="AG42" s="142"/>
      <c r="AH42" s="120"/>
      <c r="AI42" s="166"/>
      <c r="AJ42" s="139"/>
      <c r="AK42" s="175"/>
      <c r="AM42" s="140">
        <f>IF(Z42&gt;0,INDEX(lerntab___0,Z42,1),0)</f>
        <v>0</v>
      </c>
      <c r="AN42" s="146">
        <f>IF(LEFT(C42,1)="A",Y42,0)</f>
        <v>0</v>
      </c>
      <c r="AO42" s="146">
        <f>IF(LEFT(C42,1)="K",Y42,0)</f>
        <v>0</v>
      </c>
      <c r="AP42" s="146">
        <f>IF(LEFT(C42,1)="M",Y42,0)</f>
        <v>0</v>
      </c>
      <c r="AQ42" s="146"/>
      <c r="AR42" s="146">
        <f>IF(LEFT(M42,1)="A",AF42,0)</f>
        <v>0</v>
      </c>
      <c r="AS42" s="146">
        <f>IF(LEFT(M42,1)="K",AF42,0)</f>
        <v>0</v>
      </c>
      <c r="AT42" s="146">
        <f>IF(LEFT(M42,1)="M",AF42,0)</f>
        <v>0</v>
      </c>
      <c r="IT42"/>
      <c r="IU42"/>
      <c r="IV42"/>
    </row>
    <row r="43" spans="1:256" s="155" customFormat="1" ht="9" customHeight="1">
      <c r="A43" s="189" t="s">
        <v>144</v>
      </c>
      <c r="B43" s="192"/>
      <c r="C43" s="134" t="s">
        <v>56</v>
      </c>
      <c r="D43" s="134">
        <v>0</v>
      </c>
      <c r="E43" s="150">
        <v>20</v>
      </c>
      <c r="F43" s="135">
        <f>(2*Ges+3*Int)/5</f>
        <v>75</v>
      </c>
      <c r="G43" s="135">
        <f>IF(F43&lt;50,450-6*F43,IF(F43&lt;100,250-2*F43,75-F43/4))</f>
        <v>100</v>
      </c>
      <c r="H43" s="136">
        <f>G43*E43/100</f>
        <v>20</v>
      </c>
      <c r="I43" s="134">
        <f>E43*$Q$15/200</f>
        <v>10</v>
      </c>
      <c r="J43" s="131" t="s">
        <v>145</v>
      </c>
      <c r="K43" s="132"/>
      <c r="L43" s="133"/>
      <c r="M43" s="134" t="s">
        <v>142</v>
      </c>
      <c r="N43" s="134" t="s">
        <v>97</v>
      </c>
      <c r="O43" s="134">
        <v>35</v>
      </c>
      <c r="P43" s="135">
        <f>(3*Ges+2*Schn___0)/5</f>
        <v>75</v>
      </c>
      <c r="Q43" s="135">
        <f>IF(P43&lt;50,450-6*P43,IF(P43&lt;100,250-2*P43,75-P43/4))</f>
        <v>100</v>
      </c>
      <c r="R43" s="136">
        <f>Q43*O43/100</f>
        <v>35</v>
      </c>
      <c r="S43" s="120"/>
      <c r="T43" s="191"/>
      <c r="U43" s="182" t="s">
        <v>144</v>
      </c>
      <c r="V43" s="194"/>
      <c r="W43" s="139"/>
      <c r="X43" s="140">
        <f>IF(W43&gt;0,INDEX(lerntab___0,W43,1),0)</f>
        <v>0</v>
      </c>
      <c r="Y43" s="141">
        <f>IF(W43&gt;Z45,ROUND(X43*H43,0),ROUND(X43*H43+(AM45-X43)*I43,0))</f>
        <v>0</v>
      </c>
      <c r="Z43" s="188"/>
      <c r="AA43" s="131" t="s">
        <v>145</v>
      </c>
      <c r="AB43" s="137"/>
      <c r="AC43" s="138"/>
      <c r="AD43" s="139">
        <f>M102</f>
        <v>20</v>
      </c>
      <c r="AE43" s="140">
        <f>IF(AD43&gt;0,INDEX(lerntab___0,AD43,1),0)</f>
        <v>35</v>
      </c>
      <c r="AF43" s="141">
        <f>ROUND(AE43*R43,0)</f>
        <v>1225</v>
      </c>
      <c r="AG43" s="142"/>
      <c r="AH43" s="120"/>
      <c r="AI43" s="166"/>
      <c r="AJ43" s="139"/>
      <c r="AK43" s="175"/>
      <c r="AM43" s="140">
        <f>IF(Z43&gt;0,INDEX(lerntab___0,Z43,1),0)</f>
        <v>0</v>
      </c>
      <c r="AN43" s="146">
        <f>IF(LEFT(C43,1)="A",Y43,0)</f>
        <v>0</v>
      </c>
      <c r="AO43" s="146">
        <f>IF(LEFT(C43,1)="K",Y43,0)</f>
        <v>0</v>
      </c>
      <c r="AP43" s="146">
        <f>IF(LEFT(C43,1)="M",Y43,0)</f>
        <v>0</v>
      </c>
      <c r="AQ43" s="146"/>
      <c r="AR43" s="146">
        <f>IF(LEFT(M43,1)="A",AF43,0)</f>
        <v>0</v>
      </c>
      <c r="AS43" s="146">
        <f>IF(LEFT(M43,1)="K",AF43,0)</f>
        <v>1225</v>
      </c>
      <c r="AT43" s="146">
        <f>IF(LEFT(M43,1)="M",AF43,0)</f>
        <v>0</v>
      </c>
      <c r="IT43"/>
      <c r="IU43"/>
      <c r="IV43"/>
    </row>
    <row r="44" spans="1:256" s="155" customFormat="1" ht="9" customHeight="1">
      <c r="A44" s="147" t="s">
        <v>146</v>
      </c>
      <c r="B44" s="192"/>
      <c r="C44" s="134" t="s">
        <v>56</v>
      </c>
      <c r="D44" s="134" t="s">
        <v>97</v>
      </c>
      <c r="E44" s="150">
        <v>25</v>
      </c>
      <c r="F44" s="135">
        <f>(2*Ges+2*Int+Kom)/5</f>
        <v>75</v>
      </c>
      <c r="G44" s="135">
        <f>IF(F44&lt;50,450-6*F44,IF(F44&lt;100,250-2*F44,75-F44/4))</f>
        <v>100</v>
      </c>
      <c r="H44" s="136">
        <f>G44*E44/100</f>
        <v>25</v>
      </c>
      <c r="I44" s="134">
        <f>E44*$Q$15/200</f>
        <v>12.5</v>
      </c>
      <c r="J44" s="131" t="s">
        <v>147</v>
      </c>
      <c r="K44" s="132"/>
      <c r="L44" s="133"/>
      <c r="M44" s="134" t="s">
        <v>75</v>
      </c>
      <c r="N44" s="134" t="s">
        <v>97</v>
      </c>
      <c r="O44" s="134">
        <v>6</v>
      </c>
      <c r="P44" s="135">
        <f>(3*Kons+2*Kr___0)/5</f>
        <v>75</v>
      </c>
      <c r="Q44" s="135">
        <f>IF(P44&lt;50,450-6*P44,IF(P44&lt;100,250-2*P44,75-P44/4))</f>
        <v>100</v>
      </c>
      <c r="R44" s="136">
        <f>Q44*O44/100</f>
        <v>6</v>
      </c>
      <c r="S44" s="120"/>
      <c r="T44" s="187" t="s">
        <v>148</v>
      </c>
      <c r="U44" s="194"/>
      <c r="V44" s="194"/>
      <c r="W44" s="139"/>
      <c r="X44" s="140">
        <f>IF(W44&gt;0,INDEX(lerntab___0,W44,1),0)</f>
        <v>0</v>
      </c>
      <c r="Y44" s="141">
        <f>IF(W44&gt;Z46,ROUND(X44*H44,0),ROUND(X44*H44+(AM46-X44)*I44,0))</f>
        <v>0</v>
      </c>
      <c r="Z44" s="188"/>
      <c r="AA44" s="131" t="s">
        <v>147</v>
      </c>
      <c r="AB44" s="137"/>
      <c r="AC44" s="138"/>
      <c r="AD44" s="139"/>
      <c r="AE44" s="140">
        <f>IF(AD44&gt;0,INDEX(lerntab___0,AD44,1),0)</f>
        <v>0</v>
      </c>
      <c r="AF44" s="141">
        <f>ROUND(AE44*R44,0)</f>
        <v>0</v>
      </c>
      <c r="AG44" s="142"/>
      <c r="AH44" s="120"/>
      <c r="AI44" s="166"/>
      <c r="AJ44" s="139"/>
      <c r="AK44" s="175"/>
      <c r="AM44" s="140">
        <f>IF(Z44&gt;0,INDEX(lerntab___0,Z44,1),0)</f>
        <v>0</v>
      </c>
      <c r="AN44" s="146">
        <f>IF(LEFT(C44,1)="A",Y44,0)</f>
        <v>0</v>
      </c>
      <c r="AO44" s="146">
        <f>IF(LEFT(C44,1)="K",Y44,0)</f>
        <v>0</v>
      </c>
      <c r="AP44" s="146">
        <f>IF(LEFT(C44,1)="M",Y44,0)</f>
        <v>0</v>
      </c>
      <c r="AQ44" s="146"/>
      <c r="AR44" s="146">
        <f>IF(LEFT(M44,1)="A",AF44,0)</f>
        <v>0</v>
      </c>
      <c r="AS44" s="146">
        <f>IF(LEFT(M44,1)="K",AF44,0)</f>
        <v>0</v>
      </c>
      <c r="AT44" s="146">
        <f>IF(LEFT(M44,1)="M",AF44,0)</f>
        <v>0</v>
      </c>
      <c r="IT44"/>
      <c r="IU44"/>
      <c r="IV44"/>
    </row>
    <row r="45" spans="1:256" s="155" customFormat="1" ht="9" customHeight="1">
      <c r="A45" s="189" t="s">
        <v>149</v>
      </c>
      <c r="B45" s="192"/>
      <c r="C45" s="134" t="s">
        <v>56</v>
      </c>
      <c r="D45" s="134">
        <v>0</v>
      </c>
      <c r="E45" s="150">
        <v>23</v>
      </c>
      <c r="F45" s="135">
        <f>(2*Ges+3*Int)/5</f>
        <v>75</v>
      </c>
      <c r="G45" s="135">
        <f>IF(F45&lt;50,450-6*F45,IF(F45&lt;100,250-2*F45,75-F45/4))</f>
        <v>100</v>
      </c>
      <c r="H45" s="136">
        <f>G45*E45/100</f>
        <v>23</v>
      </c>
      <c r="I45" s="134">
        <f>E45*$Q$15/200</f>
        <v>11.5</v>
      </c>
      <c r="J45" s="131" t="s">
        <v>150</v>
      </c>
      <c r="K45" s="132"/>
      <c r="L45" s="133"/>
      <c r="M45" s="134" t="s">
        <v>75</v>
      </c>
      <c r="N45" s="134" t="s">
        <v>97</v>
      </c>
      <c r="O45" s="134">
        <v>15</v>
      </c>
      <c r="P45" s="135">
        <f>(4*Kom+Ges)/5</f>
        <v>75</v>
      </c>
      <c r="Q45" s="135">
        <f>IF(P45&lt;50,450-6*P45,IF(P45&lt;100,250-2*P45,75-P45/4))</f>
        <v>100</v>
      </c>
      <c r="R45" s="136">
        <f>Q45*O45/100</f>
        <v>15</v>
      </c>
      <c r="S45" s="120"/>
      <c r="T45" s="191"/>
      <c r="U45" s="182" t="s">
        <v>149</v>
      </c>
      <c r="V45" s="194"/>
      <c r="W45" s="139"/>
      <c r="X45" s="140">
        <f>IF(W45&gt;0,INDEX(lerntab___0,W45,1),0)</f>
        <v>0</v>
      </c>
      <c r="Y45" s="141">
        <f>IF(W45&gt;Z47,ROUND(X45*H45,0),ROUND(X45*H45+(AM47-X45)*I45,0))</f>
        <v>0</v>
      </c>
      <c r="Z45" s="188"/>
      <c r="AA45" s="131" t="s">
        <v>150</v>
      </c>
      <c r="AB45" s="137"/>
      <c r="AC45" s="138"/>
      <c r="AD45" s="139"/>
      <c r="AE45" s="140">
        <f>IF(AD45&gt;0,INDEX(lerntab___0,AD45,1),0)</f>
        <v>0</v>
      </c>
      <c r="AF45" s="141">
        <f>ROUND(AE45*R45,0)</f>
        <v>0</v>
      </c>
      <c r="AG45" s="142"/>
      <c r="AH45" s="120"/>
      <c r="AI45" s="166"/>
      <c r="AJ45" s="139"/>
      <c r="AK45" s="175"/>
      <c r="AM45" s="140">
        <f>IF(Z45&gt;0,INDEX(lerntab___0,Z45,1),0)</f>
        <v>0</v>
      </c>
      <c r="AN45" s="146">
        <f>IF(LEFT(C45,1)="A",Y45,0)</f>
        <v>0</v>
      </c>
      <c r="AO45" s="146">
        <f>IF(LEFT(C45,1)="K",Y45,0)</f>
        <v>0</v>
      </c>
      <c r="AP45" s="146">
        <f>IF(LEFT(C45,1)="M",Y45,0)</f>
        <v>0</v>
      </c>
      <c r="AQ45" s="146"/>
      <c r="AR45" s="146">
        <f>IF(LEFT(M45,1)="A",AF45,0)</f>
        <v>0</v>
      </c>
      <c r="AS45" s="146">
        <f>IF(LEFT(M45,1)="K",AF45,0)</f>
        <v>0</v>
      </c>
      <c r="AT45" s="146">
        <f>IF(LEFT(M45,1)="M",AF45,0)</f>
        <v>0</v>
      </c>
      <c r="IT45"/>
      <c r="IU45"/>
      <c r="IV45"/>
    </row>
    <row r="46" spans="1:256" s="155" customFormat="1" ht="9" customHeight="1">
      <c r="A46" s="189" t="s">
        <v>151</v>
      </c>
      <c r="B46" s="192"/>
      <c r="C46" s="134" t="s">
        <v>56</v>
      </c>
      <c r="D46" s="134">
        <v>0</v>
      </c>
      <c r="E46" s="150">
        <v>28</v>
      </c>
      <c r="F46" s="135">
        <f>(2*Ges+3*Kom)/5</f>
        <v>75</v>
      </c>
      <c r="G46" s="135">
        <f>IF(F46&lt;50,450-6*F46,IF(F46&lt;100,250-2*F46,75-F46/4))</f>
        <v>100</v>
      </c>
      <c r="H46" s="136">
        <f>G46*E46/100</f>
        <v>28</v>
      </c>
      <c r="I46" s="134">
        <f>E46*$Q$15/200</f>
        <v>14</v>
      </c>
      <c r="J46" s="131" t="s">
        <v>152</v>
      </c>
      <c r="K46" s="132"/>
      <c r="L46" s="133"/>
      <c r="M46" s="134" t="s">
        <v>153</v>
      </c>
      <c r="N46" s="134">
        <v>-5</v>
      </c>
      <c r="O46" s="134">
        <v>4</v>
      </c>
      <c r="P46" s="135">
        <f>(2*Ges+3*Schn___0)/5</f>
        <v>75</v>
      </c>
      <c r="Q46" s="135">
        <f>IF(P46&lt;50,450-6*P46,IF(P46&lt;100,250-2*P46,75-P46/4))</f>
        <v>100</v>
      </c>
      <c r="R46" s="136">
        <f>Q46*O46/100</f>
        <v>4</v>
      </c>
      <c r="S46" s="120"/>
      <c r="T46" s="191"/>
      <c r="U46" s="182" t="s">
        <v>151</v>
      </c>
      <c r="V46" s="194"/>
      <c r="W46" s="139"/>
      <c r="X46" s="140">
        <f>IF(W46&gt;0,INDEX(lerntab___0,W46,1),0)</f>
        <v>0</v>
      </c>
      <c r="Y46" s="141">
        <f>IF(W46&gt;Z48,ROUND(X46*H46,0),ROUND(X46*H46+(AM48-X46)*I46,0))</f>
        <v>0</v>
      </c>
      <c r="Z46" s="188"/>
      <c r="AA46" s="201" t="s">
        <v>154</v>
      </c>
      <c r="AB46" s="137"/>
      <c r="AC46" s="138"/>
      <c r="AD46" s="139"/>
      <c r="AE46" s="140">
        <f>IF(AD46&gt;0,INDEX(lerntab___0,AD46,1),0)</f>
        <v>0</v>
      </c>
      <c r="AF46" s="141">
        <f>ROUND(AE46*R46,0)</f>
        <v>0</v>
      </c>
      <c r="AG46" s="142"/>
      <c r="AH46" s="120"/>
      <c r="AI46" s="166"/>
      <c r="AJ46" s="139"/>
      <c r="AK46" s="175"/>
      <c r="AM46" s="140">
        <f>IF(Z46&gt;0,INDEX(lerntab___0,Z46,1),0)</f>
        <v>0</v>
      </c>
      <c r="AN46" s="146">
        <f>IF(LEFT(C46,1)="A",Y46,0)</f>
        <v>0</v>
      </c>
      <c r="AO46" s="146">
        <f>IF(LEFT(C46,1)="K",Y46,0)</f>
        <v>0</v>
      </c>
      <c r="AP46" s="146">
        <f>IF(LEFT(C46,1)="M",Y46,0)</f>
        <v>0</v>
      </c>
      <c r="AQ46" s="146"/>
      <c r="AR46" s="146">
        <f>IF(LEFT(M46,1)="A",AF46,0)</f>
        <v>0</v>
      </c>
      <c r="AS46" s="146">
        <f>IF(LEFT(M46,1)="K",AF46,0)</f>
        <v>0</v>
      </c>
      <c r="AT46" s="146">
        <f>IF(LEFT(M46,1)="M",AF46,0)</f>
        <v>0</v>
      </c>
      <c r="IT46"/>
      <c r="IU46"/>
      <c r="IV46"/>
    </row>
    <row r="47" spans="1:256" s="155" customFormat="1" ht="9" customHeight="1">
      <c r="A47" s="189" t="s">
        <v>155</v>
      </c>
      <c r="B47" s="192"/>
      <c r="C47" s="134" t="s">
        <v>56</v>
      </c>
      <c r="D47" s="134">
        <v>0</v>
      </c>
      <c r="E47" s="150">
        <v>22</v>
      </c>
      <c r="F47" s="135">
        <f>(3*Ges+2*Kom)/5</f>
        <v>75</v>
      </c>
      <c r="G47" s="135">
        <f>IF(F47&lt;50,450-6*F47,IF(F47&lt;100,250-2*F47,75-F47/4))</f>
        <v>100</v>
      </c>
      <c r="H47" s="136">
        <f>G47*E47/100</f>
        <v>22</v>
      </c>
      <c r="I47" s="134">
        <f>E47*$Q$15/200</f>
        <v>11</v>
      </c>
      <c r="J47" s="131" t="s">
        <v>156</v>
      </c>
      <c r="K47" s="132"/>
      <c r="L47" s="133"/>
      <c r="M47" s="134" t="s">
        <v>75</v>
      </c>
      <c r="N47" s="134">
        <v>-10</v>
      </c>
      <c r="O47" s="134">
        <v>30</v>
      </c>
      <c r="P47" s="135">
        <f>(2*Kr___0+2*Ges+Int)/5</f>
        <v>75</v>
      </c>
      <c r="Q47" s="135">
        <f>IF(P47&lt;50,450-6*P47,IF(P47&lt;100,250-2*P47,75-P47/4))</f>
        <v>100</v>
      </c>
      <c r="R47" s="136">
        <f>Q47*O47/100</f>
        <v>30</v>
      </c>
      <c r="S47" s="120"/>
      <c r="T47" s="191"/>
      <c r="U47" s="182" t="s">
        <v>155</v>
      </c>
      <c r="V47" s="194"/>
      <c r="W47" s="139"/>
      <c r="X47" s="140">
        <f>IF(W47&gt;0,INDEX(lerntab___0,W47,1),0)</f>
        <v>0</v>
      </c>
      <c r="Y47" s="141">
        <f>IF(W47&gt;Z49,ROUND(X47*H47,0),ROUND(X47*H47+(AM49-X47)*I47,0))</f>
        <v>0</v>
      </c>
      <c r="Z47" s="188"/>
      <c r="AA47" s="131" t="s">
        <v>156</v>
      </c>
      <c r="AB47" s="132"/>
      <c r="AC47" s="138"/>
      <c r="AD47" s="139">
        <f>M104</f>
        <v>35</v>
      </c>
      <c r="AE47" s="140">
        <f>IF(AD47&gt;0,INDEX(lerntab___0,AD47,1),0)</f>
        <v>125</v>
      </c>
      <c r="AF47" s="141">
        <f>ROUND(AE47*R47,0)</f>
        <v>3750</v>
      </c>
      <c r="AG47" s="142"/>
      <c r="AH47" s="120"/>
      <c r="AI47" s="166"/>
      <c r="AJ47" s="139"/>
      <c r="AK47" s="175"/>
      <c r="AM47" s="140">
        <f>IF(Z47&gt;0,INDEX(lerntab___0,Z47,1),0)</f>
        <v>0</v>
      </c>
      <c r="AN47" s="146">
        <f>IF(LEFT(C47,1)="A",Y47,0)</f>
        <v>0</v>
      </c>
      <c r="AO47" s="146">
        <f>IF(LEFT(C47,1)="K",Y47,0)</f>
        <v>0</v>
      </c>
      <c r="AP47" s="146">
        <f>IF(LEFT(C47,1)="M",Y47,0)</f>
        <v>0</v>
      </c>
      <c r="AQ47" s="146"/>
      <c r="AR47" s="146">
        <f>IF(LEFT(M47,1)="A",AF47,0)</f>
        <v>3750</v>
      </c>
      <c r="AS47" s="146">
        <f>IF(LEFT(M47,1)="K",AF47,0)</f>
        <v>0</v>
      </c>
      <c r="AT47" s="146">
        <f>IF(LEFT(M47,1)="M",AF47,0)</f>
        <v>0</v>
      </c>
      <c r="IT47"/>
      <c r="IU47"/>
      <c r="IV47"/>
    </row>
    <row r="48" spans="1:256" s="155" customFormat="1" ht="9" customHeight="1">
      <c r="A48" s="189" t="s">
        <v>157</v>
      </c>
      <c r="B48" s="192"/>
      <c r="C48" s="134" t="s">
        <v>56</v>
      </c>
      <c r="D48" s="134">
        <v>0</v>
      </c>
      <c r="E48" s="150">
        <v>18</v>
      </c>
      <c r="F48" s="135">
        <f>(3*Ges+2*Int)/5</f>
        <v>75</v>
      </c>
      <c r="G48" s="135">
        <f>IF(F48&lt;50,450-6*F48,IF(F48&lt;100,250-2*F48,75-F48/4))</f>
        <v>100</v>
      </c>
      <c r="H48" s="136">
        <f>G48*E48/100</f>
        <v>18</v>
      </c>
      <c r="I48" s="134">
        <f>E48*$Q$15/200</f>
        <v>9</v>
      </c>
      <c r="J48" s="131"/>
      <c r="K48" s="132" t="s">
        <v>158</v>
      </c>
      <c r="L48" s="133"/>
      <c r="M48" s="134" t="s">
        <v>75</v>
      </c>
      <c r="N48" s="134">
        <v>-10</v>
      </c>
      <c r="O48" s="134">
        <v>20</v>
      </c>
      <c r="P48" s="135">
        <f>(2*Kr___0+2*Ges+Int)/5</f>
        <v>75</v>
      </c>
      <c r="Q48" s="135">
        <f>IF(P48&lt;50,450-6*P48,IF(P48&lt;100,250-2*P48,75-P48/4))</f>
        <v>100</v>
      </c>
      <c r="R48" s="136">
        <f>Q48*O48/100</f>
        <v>20</v>
      </c>
      <c r="S48" s="120"/>
      <c r="T48" s="191"/>
      <c r="U48" s="182" t="s">
        <v>157</v>
      </c>
      <c r="V48" s="194"/>
      <c r="W48" s="139"/>
      <c r="X48" s="140">
        <f>IF(W48&gt;0,INDEX(lerntab___0,W48,1),0)</f>
        <v>0</v>
      </c>
      <c r="Y48" s="141">
        <f>IF(W48&gt;Z50,ROUND(X48*H48,0),ROUND(X48*H48+(AM50-X48)*I48,0))</f>
        <v>0</v>
      </c>
      <c r="Z48" s="188"/>
      <c r="AA48" s="202"/>
      <c r="AB48" s="132" t="s">
        <v>158</v>
      </c>
      <c r="AC48" s="138"/>
      <c r="AD48" s="139"/>
      <c r="AE48" s="140">
        <f>IF(AD48&gt;0,INDEX(lerntab___0,AD48,1),0)</f>
        <v>0</v>
      </c>
      <c r="AF48" s="141">
        <f>ROUND(AE48*R48,0)</f>
        <v>0</v>
      </c>
      <c r="AG48" s="142"/>
      <c r="AH48" s="120"/>
      <c r="AI48" s="166"/>
      <c r="AJ48" s="203"/>
      <c r="AK48" s="204"/>
      <c r="AM48" s="140">
        <f>IF(Z48&gt;0,INDEX(lerntab___0,Z48,1),0)</f>
        <v>0</v>
      </c>
      <c r="AN48" s="146">
        <f>IF(LEFT(C48,1)="A",Y48,0)</f>
        <v>0</v>
      </c>
      <c r="AO48" s="146">
        <f>IF(LEFT(C48,1)="K",Y48,0)</f>
        <v>0</v>
      </c>
      <c r="AP48" s="146">
        <f>IF(LEFT(C48,1)="M",Y48,0)</f>
        <v>0</v>
      </c>
      <c r="AQ48" s="146"/>
      <c r="AR48" s="146">
        <f>IF(LEFT(M48,1)="A",AF48,0)</f>
        <v>0</v>
      </c>
      <c r="AS48" s="146">
        <f>IF(LEFT(M48,1)="K",AF48,0)</f>
        <v>0</v>
      </c>
      <c r="AT48" s="146">
        <f>IF(LEFT(M48,1)="M",AF48,0)</f>
        <v>0</v>
      </c>
      <c r="IT48"/>
      <c r="IU48"/>
      <c r="IV48"/>
    </row>
    <row r="49" spans="1:256" s="155" customFormat="1" ht="9" customHeight="1">
      <c r="A49" s="189" t="s">
        <v>159</v>
      </c>
      <c r="B49" s="192"/>
      <c r="C49" s="134" t="s">
        <v>56</v>
      </c>
      <c r="D49" s="134">
        <v>-5</v>
      </c>
      <c r="E49" s="150">
        <v>30</v>
      </c>
      <c r="F49" s="135">
        <f>(3*Ges+2*Int)/5</f>
        <v>75</v>
      </c>
      <c r="G49" s="135">
        <f>IF(F49&lt;50,450-6*F49,IF(F49&lt;100,250-2*F49,75-F49/4))</f>
        <v>100</v>
      </c>
      <c r="H49" s="136">
        <f>G49*E49/100</f>
        <v>30</v>
      </c>
      <c r="I49" s="134">
        <f>E49*$Q$15/200</f>
        <v>15</v>
      </c>
      <c r="J49" s="131"/>
      <c r="K49" s="132" t="s">
        <v>160</v>
      </c>
      <c r="L49" s="133"/>
      <c r="M49" s="134" t="s">
        <v>75</v>
      </c>
      <c r="N49" s="134">
        <v>-10</v>
      </c>
      <c r="O49" s="134">
        <v>20</v>
      </c>
      <c r="P49" s="135">
        <f>(2*Kr___0+2*Ges+Int)/5</f>
        <v>75</v>
      </c>
      <c r="Q49" s="135">
        <f>IF(P49&lt;50,450-6*P49,IF(P49&lt;100,250-2*P49,75-P49/4))</f>
        <v>100</v>
      </c>
      <c r="R49" s="136">
        <f>Q49*O49/100</f>
        <v>20</v>
      </c>
      <c r="S49" s="120"/>
      <c r="T49" s="191"/>
      <c r="U49" s="182" t="s">
        <v>159</v>
      </c>
      <c r="V49" s="194"/>
      <c r="W49" s="139"/>
      <c r="X49" s="140">
        <f>IF(W49&gt;0,INDEX(lerntab___0,W49,1),0)</f>
        <v>0</v>
      </c>
      <c r="Y49" s="141">
        <f>IF(W49&gt;Z54,ROUND(X49*H49,0),ROUND(X49*H49+(AM54-X49)*I49,0))</f>
        <v>0</v>
      </c>
      <c r="Z49" s="188"/>
      <c r="AA49" s="202"/>
      <c r="AB49" s="132" t="s">
        <v>160</v>
      </c>
      <c r="AC49" s="138"/>
      <c r="AD49" s="139"/>
      <c r="AE49" s="140">
        <f>IF(AD49&gt;0,INDEX(lerntab___0,AD49,1),0)</f>
        <v>0</v>
      </c>
      <c r="AF49" s="141">
        <f>ROUND(AE49*R49,0)</f>
        <v>0</v>
      </c>
      <c r="AG49" s="142"/>
      <c r="AH49" s="120"/>
      <c r="AI49" s="166"/>
      <c r="AJ49" s="139"/>
      <c r="AK49" s="175"/>
      <c r="AL49" s="120"/>
      <c r="AM49" s="140">
        <f>IF(Z49&gt;0,INDEX(lerntab___0,Z49,1),0)</f>
        <v>0</v>
      </c>
      <c r="AN49" s="146">
        <f>IF(LEFT(C49,1)="A",Y49,0)</f>
        <v>0</v>
      </c>
      <c r="AO49" s="146">
        <f>IF(LEFT(C49,1)="K",Y49,0)</f>
        <v>0</v>
      </c>
      <c r="AP49" s="146">
        <f>IF(LEFT(C49,1)="M",Y49,0)</f>
        <v>0</v>
      </c>
      <c r="AQ49" s="146"/>
      <c r="AR49" s="146">
        <f>IF(LEFT(M49,1)="A",AF49,0)</f>
        <v>0</v>
      </c>
      <c r="AS49" s="146">
        <f>IF(LEFT(M49,1)="K",AF49,0)</f>
        <v>0</v>
      </c>
      <c r="AT49" s="146">
        <f>IF(LEFT(M49,1)="M",AF49,0)</f>
        <v>0</v>
      </c>
      <c r="IT49"/>
      <c r="IU49"/>
      <c r="IV49"/>
    </row>
    <row r="50" spans="1:256" s="155" customFormat="1" ht="9" customHeight="1">
      <c r="A50" s="189" t="s">
        <v>161</v>
      </c>
      <c r="B50" s="192"/>
      <c r="C50" s="134" t="s">
        <v>56</v>
      </c>
      <c r="D50" s="134">
        <v>0</v>
      </c>
      <c r="E50" s="150">
        <v>15</v>
      </c>
      <c r="F50" s="135">
        <f>(3*Kr___0+2*Ges)/5</f>
        <v>75</v>
      </c>
      <c r="G50" s="135">
        <f>IF(F50&lt;50,450-6*F50,IF(F50&lt;100,250-2*F50,75-F50/4))</f>
        <v>100</v>
      </c>
      <c r="H50" s="136">
        <f>G50*E50/100</f>
        <v>15</v>
      </c>
      <c r="I50" s="134">
        <f>E50*$Q$15/200</f>
        <v>7.5</v>
      </c>
      <c r="J50" s="131"/>
      <c r="K50" s="132" t="s">
        <v>162</v>
      </c>
      <c r="L50" s="133"/>
      <c r="M50" s="134" t="s">
        <v>75</v>
      </c>
      <c r="N50" s="134">
        <v>-10</v>
      </c>
      <c r="O50" s="134">
        <v>20</v>
      </c>
      <c r="P50" s="135">
        <f>(2*Kr___0+2*Ges+Int)/5</f>
        <v>75</v>
      </c>
      <c r="Q50" s="135">
        <f>IF(P50&lt;50,450-6*P50,IF(P50&lt;100,250-2*P50,75-P50/4))</f>
        <v>100</v>
      </c>
      <c r="R50" s="136">
        <f>Q50*O50/100</f>
        <v>20</v>
      </c>
      <c r="S50" s="120"/>
      <c r="T50" s="191"/>
      <c r="U50" s="182" t="s">
        <v>161</v>
      </c>
      <c r="V50" s="194"/>
      <c r="W50" s="139"/>
      <c r="X50" s="140">
        <f>IF(W50&gt;0,INDEX(lerntab___0,W50,1),0)</f>
        <v>0</v>
      </c>
      <c r="Y50" s="141">
        <f>IF(W50&gt;Z55,ROUND(X50*H50,0),ROUND(X50*H50+(AM55-X50)*I50,0))</f>
        <v>0</v>
      </c>
      <c r="Z50" s="188"/>
      <c r="AA50" s="202"/>
      <c r="AB50" s="132" t="s">
        <v>162</v>
      </c>
      <c r="AC50" s="138"/>
      <c r="AD50" s="139"/>
      <c r="AE50" s="140">
        <f>IF(AD50&gt;0,INDEX(lerntab___0,AD50,1),0)</f>
        <v>0</v>
      </c>
      <c r="AF50" s="141">
        <f>ROUND(AE50*R50,0)</f>
        <v>0</v>
      </c>
      <c r="AG50" s="142"/>
      <c r="AH50" s="120"/>
      <c r="AI50" s="166"/>
      <c r="AJ50" s="139"/>
      <c r="AK50" s="175"/>
      <c r="AM50" s="140">
        <f>IF(Z50&gt;0,INDEX(lerntab___0,Z50,1),0)</f>
        <v>0</v>
      </c>
      <c r="AN50" s="146">
        <f>IF(LEFT(C50,1)="A",Y50,0)</f>
        <v>0</v>
      </c>
      <c r="AO50" s="146">
        <f>IF(LEFT(C50,1)="K",Y50,0)</f>
        <v>0</v>
      </c>
      <c r="AP50" s="146">
        <f>IF(LEFT(C50,1)="M",Y50,0)</f>
        <v>0</v>
      </c>
      <c r="AQ50" s="146"/>
      <c r="AR50" s="146">
        <f>IF(LEFT(M50,1)="A",AF50,0)</f>
        <v>0</v>
      </c>
      <c r="AS50" s="146">
        <f>IF(LEFT(M50,1)="K",AF50,0)</f>
        <v>0</v>
      </c>
      <c r="AT50" s="146">
        <f>IF(LEFT(M50,1)="M",AF50,0)</f>
        <v>0</v>
      </c>
      <c r="IT50"/>
      <c r="IU50"/>
      <c r="IV50"/>
    </row>
    <row r="51" spans="1:256" s="155" customFormat="1" ht="9" customHeight="1">
      <c r="A51" s="189" t="s">
        <v>163</v>
      </c>
      <c r="B51" s="192"/>
      <c r="C51" s="134" t="s">
        <v>56</v>
      </c>
      <c r="D51" s="134">
        <v>0</v>
      </c>
      <c r="E51" s="150">
        <v>15</v>
      </c>
      <c r="F51" s="135">
        <f>(3*Kr___0+2*Ges)/5</f>
        <v>75</v>
      </c>
      <c r="G51" s="135">
        <f>IF(F51&lt;50,450-6*F51,IF(F51&lt;100,250-2*F51,75-F51/4))</f>
        <v>100</v>
      </c>
      <c r="H51" s="136">
        <f>G51*E51/100</f>
        <v>15</v>
      </c>
      <c r="I51" s="134">
        <f>E51*$Q$15/200</f>
        <v>7.5</v>
      </c>
      <c r="J51" s="131" t="s">
        <v>164</v>
      </c>
      <c r="K51" s="132"/>
      <c r="L51" s="133"/>
      <c r="M51" s="134" t="s">
        <v>75</v>
      </c>
      <c r="N51" s="134">
        <v>25</v>
      </c>
      <c r="O51" s="134">
        <v>18</v>
      </c>
      <c r="P51" s="135">
        <f>(2*Kr___0+2*Ges+Int)/5</f>
        <v>75</v>
      </c>
      <c r="Q51" s="135">
        <f>IF(P51&lt;50,450-6*P51,IF(P51&lt;100,250-2*P51,75-P51/4))</f>
        <v>100</v>
      </c>
      <c r="R51" s="136">
        <f>Q51*O51/100</f>
        <v>18</v>
      </c>
      <c r="S51" s="120"/>
      <c r="T51" s="191"/>
      <c r="U51" s="182" t="s">
        <v>163</v>
      </c>
      <c r="V51" s="194"/>
      <c r="W51" s="139"/>
      <c r="X51" s="140">
        <f>IF(W51&gt;0,INDEX(lerntab___0,W51,1),0)</f>
        <v>0</v>
      </c>
      <c r="Y51" s="141">
        <f>IF(W51&gt;Z56,ROUND(X51*H51,0),ROUND(X51*H51+(AM56-X51)*I51,0))</f>
        <v>0</v>
      </c>
      <c r="Z51" s="188"/>
      <c r="AA51" s="131" t="s">
        <v>164</v>
      </c>
      <c r="AB51" s="137"/>
      <c r="AC51" s="138"/>
      <c r="AD51" s="139"/>
      <c r="AE51" s="140">
        <f>IF(AD51&gt;0,INDEX(lerntab___0,AD51,1),0)</f>
        <v>0</v>
      </c>
      <c r="AF51" s="141">
        <f>ROUND(AE51*R51,0)</f>
        <v>0</v>
      </c>
      <c r="AG51" s="142"/>
      <c r="AH51" s="120"/>
      <c r="AI51" s="166"/>
      <c r="AJ51" s="139"/>
      <c r="AK51" s="175"/>
      <c r="AM51" s="140"/>
      <c r="AN51" s="146">
        <f>IF(LEFT(C51,1)="A",Y51,0)</f>
        <v>0</v>
      </c>
      <c r="AO51" s="146">
        <f>IF(LEFT(C51,1)="K",Y51,0)</f>
        <v>0</v>
      </c>
      <c r="AP51" s="146">
        <f>IF(LEFT(C51,1)="M",Y51,0)</f>
        <v>0</v>
      </c>
      <c r="AQ51" s="146"/>
      <c r="AR51" s="146">
        <f>IF(LEFT(M51,1)="A",AF51,0)</f>
        <v>0</v>
      </c>
      <c r="AS51" s="146">
        <f>IF(LEFT(M51,1)="K",AF51,0)</f>
        <v>0</v>
      </c>
      <c r="AT51" s="146">
        <f>IF(LEFT(M51,1)="M",AF51,0)</f>
        <v>0</v>
      </c>
      <c r="IT51"/>
      <c r="IU51"/>
      <c r="IV51"/>
    </row>
    <row r="52" spans="1:256" s="155" customFormat="1" ht="9" customHeight="1">
      <c r="A52" s="147" t="s">
        <v>165</v>
      </c>
      <c r="B52" s="192"/>
      <c r="C52" s="134" t="s">
        <v>56</v>
      </c>
      <c r="D52" s="134" t="s">
        <v>97</v>
      </c>
      <c r="E52" s="150">
        <v>25</v>
      </c>
      <c r="F52" s="135">
        <f>(2*Kr___0+Ges+2*Int)/5</f>
        <v>75</v>
      </c>
      <c r="G52" s="135">
        <f>IF(F52&lt;50,450-6*F52,IF(F52&lt;100,250-2*F52,75-F52/4))</f>
        <v>100</v>
      </c>
      <c r="H52" s="136">
        <f>G52*E52/100</f>
        <v>25</v>
      </c>
      <c r="I52" s="134">
        <f>E52*$Q$15/200</f>
        <v>12.5</v>
      </c>
      <c r="J52" s="131" t="s">
        <v>166</v>
      </c>
      <c r="K52" s="132"/>
      <c r="L52" s="133"/>
      <c r="M52" s="134" t="s">
        <v>167</v>
      </c>
      <c r="N52" s="134">
        <v>0</v>
      </c>
      <c r="O52" s="134">
        <v>1</v>
      </c>
      <c r="P52" s="135">
        <f>(2*Kons+3*Schn___0)/5</f>
        <v>75</v>
      </c>
      <c r="Q52" s="135">
        <f>IF(P52&lt;50,450-6*P52,IF(P52&lt;100,250-2*P52,75-P52/4))</f>
        <v>100</v>
      </c>
      <c r="R52" s="136">
        <f>Q52*O52/100</f>
        <v>1</v>
      </c>
      <c r="S52" s="120"/>
      <c r="T52" s="187" t="s">
        <v>165</v>
      </c>
      <c r="U52" s="194"/>
      <c r="V52" s="194"/>
      <c r="W52" s="139"/>
      <c r="X52" s="140">
        <f>IF(W52&gt;0,INDEX(lerntab___0,W52,1),0)</f>
        <v>0</v>
      </c>
      <c r="Y52" s="141">
        <f>IF(W52&gt;Z57,ROUND(X52*H52,0),ROUND(X52*H52+(AM57-X52)*I52,0))</f>
        <v>0</v>
      </c>
      <c r="Z52" s="188"/>
      <c r="AA52" s="201" t="s">
        <v>168</v>
      </c>
      <c r="AB52" s="137"/>
      <c r="AC52" s="138"/>
      <c r="AD52" s="139">
        <f>M103</f>
        <v>35</v>
      </c>
      <c r="AE52" s="140">
        <f>IF(AD52&gt;0,INDEX(lerntab___0,AD52,1),0)</f>
        <v>125</v>
      </c>
      <c r="AF52" s="141">
        <f>ROUND(AE52*R52,0)</f>
        <v>125</v>
      </c>
      <c r="AG52" s="142"/>
      <c r="AH52" s="120"/>
      <c r="AI52" s="166"/>
      <c r="AJ52" s="139"/>
      <c r="AK52" s="175"/>
      <c r="AM52" s="140"/>
      <c r="AN52" s="146">
        <f>IF(LEFT(C52,1)="A",Y52,0)</f>
        <v>0</v>
      </c>
      <c r="AO52" s="146">
        <f>IF(LEFT(C52,1)="K",Y52,0)</f>
        <v>0</v>
      </c>
      <c r="AP52" s="146">
        <f>IF(LEFT(C52,1)="M",Y52,0)</f>
        <v>0</v>
      </c>
      <c r="AQ52" s="146"/>
      <c r="AR52" s="146">
        <f>IF(LEFT(M52,1)="A",AF52,0)</f>
        <v>0</v>
      </c>
      <c r="AS52" s="146">
        <f>IF(LEFT(M52,1)="K",AF52,0)</f>
        <v>125</v>
      </c>
      <c r="AT52" s="146">
        <f>IF(LEFT(M52,1)="M",AF52,0)</f>
        <v>0</v>
      </c>
      <c r="IT52"/>
      <c r="IU52"/>
      <c r="IV52"/>
    </row>
    <row r="53" spans="1:256" s="155" customFormat="1" ht="9" customHeight="1">
      <c r="A53" s="189" t="s">
        <v>169</v>
      </c>
      <c r="B53" s="192"/>
      <c r="C53" s="134" t="s">
        <v>56</v>
      </c>
      <c r="D53" s="134">
        <v>5</v>
      </c>
      <c r="E53" s="150">
        <v>10</v>
      </c>
      <c r="F53" s="135">
        <f>(2*Kr___0+3*Kons)/5</f>
        <v>75</v>
      </c>
      <c r="G53" s="135">
        <f>IF(F53&lt;50,450-6*F53,IF(F53&lt;100,250-2*F53,75-F53/4))</f>
        <v>100</v>
      </c>
      <c r="H53" s="136">
        <f>G53*E53/100</f>
        <v>10</v>
      </c>
      <c r="I53" s="134">
        <f>E53*$Q$15/200</f>
        <v>5</v>
      </c>
      <c r="J53" s="131" t="s">
        <v>170</v>
      </c>
      <c r="K53" s="132"/>
      <c r="L53" s="133"/>
      <c r="M53" s="134" t="s">
        <v>75</v>
      </c>
      <c r="N53" s="134">
        <v>0</v>
      </c>
      <c r="O53" s="134">
        <v>2</v>
      </c>
      <c r="P53" s="135">
        <f>(2*Kr___0+2*Ges+Kons)/5</f>
        <v>75</v>
      </c>
      <c r="Q53" s="135">
        <f>IF(P53&lt;50,450-6*P53,IF(P53&lt;100,250-2*P53,75-P53/4))</f>
        <v>100</v>
      </c>
      <c r="R53" s="136">
        <f>Q53*O53/100</f>
        <v>2</v>
      </c>
      <c r="S53" s="120"/>
      <c r="T53" s="191"/>
      <c r="U53" s="182" t="s">
        <v>169</v>
      </c>
      <c r="V53" s="194"/>
      <c r="W53" s="139"/>
      <c r="X53" s="140">
        <f>IF(W53&gt;0,INDEX(lerntab___0,W53,1),0)</f>
        <v>0</v>
      </c>
      <c r="Y53" s="141">
        <f>IF(W53&gt;Z58,ROUND(X53*H53,0),ROUND(X53*H53+(AM58-X53)*I53,0))</f>
        <v>0</v>
      </c>
      <c r="Z53" s="188"/>
      <c r="AA53" s="201" t="s">
        <v>171</v>
      </c>
      <c r="AB53" s="137"/>
      <c r="AC53" s="138"/>
      <c r="AD53" s="139"/>
      <c r="AE53" s="140">
        <f>IF(AD53&gt;0,INDEX(lerntab___0,AD53,1),0)</f>
        <v>0</v>
      </c>
      <c r="AF53" s="141">
        <f>ROUND(AE53*R53,0)</f>
        <v>0</v>
      </c>
      <c r="AG53" s="142"/>
      <c r="AH53" s="120"/>
      <c r="AI53" s="166"/>
      <c r="AJ53" s="139"/>
      <c r="AK53" s="175"/>
      <c r="AM53" s="140"/>
      <c r="AN53" s="146">
        <f>IF(LEFT(C53,1)="A",Y53,0)</f>
        <v>0</v>
      </c>
      <c r="AO53" s="146">
        <f>IF(LEFT(C53,1)="K",Y53,0)</f>
        <v>0</v>
      </c>
      <c r="AP53" s="146">
        <f>IF(LEFT(C53,1)="M",Y53,0)</f>
        <v>0</v>
      </c>
      <c r="AQ53" s="146"/>
      <c r="AR53" s="146">
        <f>IF(LEFT(M53,1)="A",AF53,0)</f>
        <v>0</v>
      </c>
      <c r="AS53" s="146">
        <f>IF(LEFT(M53,1)="K",AF53,0)</f>
        <v>0</v>
      </c>
      <c r="AT53" s="146">
        <f>IF(LEFT(M53,1)="M",AF53,0)</f>
        <v>0</v>
      </c>
      <c r="IT53"/>
      <c r="IU53"/>
      <c r="IV53"/>
    </row>
    <row r="54" spans="1:256" s="155" customFormat="1" ht="9" customHeight="1">
      <c r="A54" s="189" t="s">
        <v>172</v>
      </c>
      <c r="B54" s="192"/>
      <c r="C54" s="134" t="s">
        <v>56</v>
      </c>
      <c r="D54" s="134">
        <v>0</v>
      </c>
      <c r="E54" s="150">
        <v>30</v>
      </c>
      <c r="F54" s="135">
        <f>(3*Ges+2*Int)/5</f>
        <v>75</v>
      </c>
      <c r="G54" s="135">
        <f>IF(F54&lt;50,450-6*F54,IF(F54&lt;100,250-2*F54,75-F54/4))</f>
        <v>100</v>
      </c>
      <c r="H54" s="136">
        <f>G54*E54/100</f>
        <v>30</v>
      </c>
      <c r="I54" s="134">
        <f>E54*$Q$15/200</f>
        <v>15</v>
      </c>
      <c r="J54" s="131" t="s">
        <v>173</v>
      </c>
      <c r="K54" s="132"/>
      <c r="L54" s="133"/>
      <c r="M54" s="134" t="s">
        <v>75</v>
      </c>
      <c r="N54" s="134">
        <v>15</v>
      </c>
      <c r="O54" s="134">
        <v>9</v>
      </c>
      <c r="P54" s="135">
        <f>(4*Ges+Int)/5</f>
        <v>75</v>
      </c>
      <c r="Q54" s="135">
        <f>IF(P54&lt;50,450-6*P54,IF(P54&lt;100,250-2*P54,75-P54/4))</f>
        <v>100</v>
      </c>
      <c r="R54" s="136">
        <f>Q54*O54/100</f>
        <v>9</v>
      </c>
      <c r="S54" s="120"/>
      <c r="T54" s="191"/>
      <c r="U54" s="182" t="s">
        <v>172</v>
      </c>
      <c r="V54" s="194"/>
      <c r="W54" s="139"/>
      <c r="X54" s="140">
        <f>IF(W54&gt;0,INDEX(lerntab___0,W54,1),0)</f>
        <v>0</v>
      </c>
      <c r="Y54" s="141">
        <f>IF(W54&gt;Z59,ROUND(X54*H54,0),ROUND(X54*H54+(AM59-X54)*I54,0))</f>
        <v>0</v>
      </c>
      <c r="Z54" s="188"/>
      <c r="AA54" s="201" t="s">
        <v>174</v>
      </c>
      <c r="AB54" s="137"/>
      <c r="AC54" s="138"/>
      <c r="AD54" s="139"/>
      <c r="AE54" s="140">
        <f>IF(AD54&gt;0,INDEX(lerntab___0,AD54,1),0)</f>
        <v>0</v>
      </c>
      <c r="AF54" s="141">
        <f>ROUND(AE54*R54,0)</f>
        <v>0</v>
      </c>
      <c r="AG54" s="142"/>
      <c r="AH54" s="120"/>
      <c r="AI54" s="166"/>
      <c r="AJ54" s="139"/>
      <c r="AK54" s="175"/>
      <c r="AM54" s="140">
        <f>IF(Z54&gt;0,INDEX(lerntab___0,Z54,1),0)</f>
        <v>0</v>
      </c>
      <c r="AN54" s="146">
        <f>IF(LEFT(C54,1)="A",Y54,0)</f>
        <v>0</v>
      </c>
      <c r="AO54" s="146">
        <f>IF(LEFT(C54,1)="K",Y54,0)</f>
        <v>0</v>
      </c>
      <c r="AP54" s="146">
        <f>IF(LEFT(C54,1)="M",Y54,0)</f>
        <v>0</v>
      </c>
      <c r="AQ54" s="146"/>
      <c r="AR54" s="146">
        <f>IF(LEFT(M54,1)="A",AF54,0)</f>
        <v>0</v>
      </c>
      <c r="AS54" s="146">
        <f>IF(LEFT(M54,1)="K",AF54,0)</f>
        <v>0</v>
      </c>
      <c r="AT54" s="146">
        <f>IF(LEFT(M54,1)="M",AF54,0)</f>
        <v>0</v>
      </c>
      <c r="IT54"/>
      <c r="IU54"/>
      <c r="IV54"/>
    </row>
    <row r="55" spans="1:256" s="155" customFormat="1" ht="9" customHeight="1">
      <c r="A55" s="189" t="s">
        <v>175</v>
      </c>
      <c r="B55" s="192"/>
      <c r="C55" s="134" t="s">
        <v>56</v>
      </c>
      <c r="D55" s="134">
        <v>0</v>
      </c>
      <c r="E55" s="150">
        <v>22</v>
      </c>
      <c r="F55" s="135">
        <f>(2*Kr___0+3*Ges)/5</f>
        <v>75</v>
      </c>
      <c r="G55" s="135">
        <f>IF(F55&lt;50,450-6*F55,IF(F55&lt;100,250-2*F55,75-F55/4))</f>
        <v>100</v>
      </c>
      <c r="H55" s="136">
        <f>G55*E55/100</f>
        <v>22</v>
      </c>
      <c r="I55" s="134">
        <f>E55*$Q$15/200</f>
        <v>11</v>
      </c>
      <c r="J55" s="131" t="s">
        <v>176</v>
      </c>
      <c r="K55" s="132"/>
      <c r="L55" s="133"/>
      <c r="M55" s="134" t="s">
        <v>75</v>
      </c>
      <c r="N55" s="134">
        <v>5</v>
      </c>
      <c r="O55" s="134">
        <v>7</v>
      </c>
      <c r="P55" s="135">
        <f>(2*Kr___0+2*Ges+Kons)/5</f>
        <v>75</v>
      </c>
      <c r="Q55" s="135">
        <f>IF(P55&lt;50,450-6*P55,IF(P55&lt;100,250-2*P55,75-P55/4))</f>
        <v>100</v>
      </c>
      <c r="R55" s="136">
        <f>Q55*O55/100</f>
        <v>7</v>
      </c>
      <c r="S55" s="120"/>
      <c r="T55" s="191"/>
      <c r="U55" s="182" t="s">
        <v>175</v>
      </c>
      <c r="V55" s="194"/>
      <c r="W55" s="139"/>
      <c r="X55" s="140">
        <f>IF(W55&gt;0,INDEX(lerntab___0,W55,1),0)</f>
        <v>0</v>
      </c>
      <c r="Y55" s="141">
        <f>IF(W55&gt;Z60,ROUND(X55*H55,0),ROUND(X55*H55+(AM60-X55)*I55,0))</f>
        <v>0</v>
      </c>
      <c r="Z55" s="188"/>
      <c r="AA55" s="201" t="s">
        <v>177</v>
      </c>
      <c r="AB55" s="137"/>
      <c r="AC55" s="138"/>
      <c r="AD55" s="139"/>
      <c r="AE55" s="140">
        <f>IF(AD55&gt;0,INDEX(lerntab___0,AD55,1),0)</f>
        <v>0</v>
      </c>
      <c r="AF55" s="141">
        <f>ROUND(AE55*R55,0)</f>
        <v>0</v>
      </c>
      <c r="AG55" s="142"/>
      <c r="AH55" s="120"/>
      <c r="AI55" s="166"/>
      <c r="AJ55" s="139"/>
      <c r="AK55" s="175"/>
      <c r="AM55" s="140">
        <f>IF(Z55&gt;0,INDEX(lerntab___0,Z55,1),0)</f>
        <v>0</v>
      </c>
      <c r="AN55" s="146">
        <f>IF(LEFT(C55,1)="A",Y55,0)</f>
        <v>0</v>
      </c>
      <c r="AO55" s="146">
        <f>IF(LEFT(C55,1)="K",Y55,0)</f>
        <v>0</v>
      </c>
      <c r="AP55" s="146">
        <f>IF(LEFT(C55,1)="M",Y55,0)</f>
        <v>0</v>
      </c>
      <c r="AQ55" s="146"/>
      <c r="AR55" s="146">
        <f>IF(LEFT(M55,1)="A",AF55,0)</f>
        <v>0</v>
      </c>
      <c r="AS55" s="146">
        <f>IF(LEFT(M55,1)="K",AF55,0)</f>
        <v>0</v>
      </c>
      <c r="AT55" s="146">
        <f>IF(LEFT(M55,1)="M",AF55,0)</f>
        <v>0</v>
      </c>
      <c r="IT55"/>
      <c r="IU55"/>
      <c r="IV55"/>
    </row>
    <row r="56" spans="1:256" s="155" customFormat="1" ht="9" customHeight="1">
      <c r="A56" s="189" t="s">
        <v>178</v>
      </c>
      <c r="B56" s="192"/>
      <c r="C56" s="134" t="s">
        <v>56</v>
      </c>
      <c r="D56" s="134">
        <v>-5</v>
      </c>
      <c r="E56" s="150">
        <v>25</v>
      </c>
      <c r="F56" s="135">
        <f>(2*Ges+2*Kom+Int)/5</f>
        <v>75</v>
      </c>
      <c r="G56" s="135">
        <f>IF(F56&lt;50,450-6*F56,IF(F56&lt;100,250-2*F56,75-F56/4))</f>
        <v>100</v>
      </c>
      <c r="H56" s="136">
        <f>G56*E56/100</f>
        <v>25</v>
      </c>
      <c r="I56" s="134">
        <f>E56*$Q$15/200</f>
        <v>12.5</v>
      </c>
      <c r="J56" s="131" t="s">
        <v>179</v>
      </c>
      <c r="K56" s="132"/>
      <c r="L56" s="133"/>
      <c r="M56" s="134" t="s">
        <v>180</v>
      </c>
      <c r="N56" s="134">
        <v>-15</v>
      </c>
      <c r="O56" s="134">
        <v>100</v>
      </c>
      <c r="P56" s="135">
        <f>(4*Ges+Int)/5</f>
        <v>75</v>
      </c>
      <c r="Q56" s="135">
        <f>IF(P56&lt;50,450-6*P56,IF(P56&lt;100,250-2*P56,75-P56/4))</f>
        <v>100</v>
      </c>
      <c r="R56" s="136">
        <f>Q56*O56/100</f>
        <v>100</v>
      </c>
      <c r="S56" s="120"/>
      <c r="T56" s="191"/>
      <c r="U56" s="182" t="s">
        <v>178</v>
      </c>
      <c r="V56" s="194"/>
      <c r="W56" s="139"/>
      <c r="X56" s="140">
        <f>IF(W56&gt;0,INDEX(lerntab___0,W56,1),0)</f>
        <v>0</v>
      </c>
      <c r="Y56" s="141">
        <f>IF(W56&gt;Z61,ROUND(X56*H56,0),ROUND(X56*H56+(AM61-X56)*I56,0))</f>
        <v>0</v>
      </c>
      <c r="Z56" s="188"/>
      <c r="AA56" s="201" t="s">
        <v>181</v>
      </c>
      <c r="AB56" s="137"/>
      <c r="AC56" s="138"/>
      <c r="AD56" s="139"/>
      <c r="AE56" s="140">
        <f>IF(AD56&gt;0,INDEX(lerntab___0,AD56,1),0)</f>
        <v>0</v>
      </c>
      <c r="AF56" s="141">
        <f>ROUND(AE56*R56,0)</f>
        <v>0</v>
      </c>
      <c r="AG56" s="142"/>
      <c r="AH56" s="120"/>
      <c r="AI56" s="166"/>
      <c r="AJ56" s="139"/>
      <c r="AK56" s="175"/>
      <c r="AM56" s="140">
        <f>IF(Z56&gt;0,INDEX(lerntab___0,Z56,1),0)</f>
        <v>0</v>
      </c>
      <c r="AN56" s="146">
        <f>IF(LEFT(C56,1)="A",Y56,0)</f>
        <v>0</v>
      </c>
      <c r="AO56" s="146">
        <f>IF(LEFT(C56,1)="K",Y56,0)</f>
        <v>0</v>
      </c>
      <c r="AP56" s="146">
        <f>IF(LEFT(C56,1)="M",Y56,0)</f>
        <v>0</v>
      </c>
      <c r="AQ56" s="146"/>
      <c r="AR56" s="146">
        <f>IF(LEFT(M56,1)="A",AF56,0)</f>
        <v>0</v>
      </c>
      <c r="AS56" s="146">
        <f>IF(LEFT(M56,1)="K",AF56,0)</f>
        <v>0</v>
      </c>
      <c r="AT56" s="146">
        <f>IF(LEFT(M56,1)="M",AF56,0)</f>
        <v>0</v>
      </c>
      <c r="IT56"/>
      <c r="IU56"/>
      <c r="IV56"/>
    </row>
    <row r="57" spans="1:256" s="155" customFormat="1" ht="9" customHeight="1">
      <c r="A57" s="147" t="s">
        <v>182</v>
      </c>
      <c r="B57" s="192"/>
      <c r="C57" s="134" t="s">
        <v>56</v>
      </c>
      <c r="D57" s="134" t="s">
        <v>183</v>
      </c>
      <c r="E57" s="150">
        <v>23</v>
      </c>
      <c r="F57" s="135">
        <f>(2*Kr___0+Ges+2*Kom)/5</f>
        <v>75</v>
      </c>
      <c r="G57" s="135">
        <f>IF(F57&lt;50,450-6*F57,IF(F57&lt;100,250-2*F57,75-F57/4))</f>
        <v>100</v>
      </c>
      <c r="H57" s="136">
        <f>G57*E57/100</f>
        <v>23</v>
      </c>
      <c r="I57" s="134">
        <f>E57*$Q$15/200</f>
        <v>11.5</v>
      </c>
      <c r="J57" s="131" t="s">
        <v>184</v>
      </c>
      <c r="K57" s="132"/>
      <c r="L57" s="133"/>
      <c r="M57" s="134" t="s">
        <v>75</v>
      </c>
      <c r="N57" s="134">
        <v>5</v>
      </c>
      <c r="O57" s="134">
        <v>2</v>
      </c>
      <c r="P57" s="135">
        <f>(2*Kr___0+2*Schn___0+Ges)/5</f>
        <v>75</v>
      </c>
      <c r="Q57" s="135">
        <f>IF(P57&lt;50,450-6*P57,IF(P57&lt;100,250-2*P57,75-P57/4))</f>
        <v>100</v>
      </c>
      <c r="R57" s="136">
        <f>Q57*O57/100</f>
        <v>2</v>
      </c>
      <c r="S57" s="120"/>
      <c r="T57" s="187" t="s">
        <v>182</v>
      </c>
      <c r="U57" s="194"/>
      <c r="V57" s="194"/>
      <c r="W57" s="139"/>
      <c r="X57" s="140">
        <f>IF(W57&gt;0,INDEX(lerntab___0,W57,1),0)</f>
        <v>0</v>
      </c>
      <c r="Y57" s="141">
        <f>IF(W57&gt;Z62,ROUND(X57*H57,0),ROUND(X57*H57+(AM62-X57)*I57,0))</f>
        <v>0</v>
      </c>
      <c r="Z57" s="188"/>
      <c r="AA57" s="201" t="s">
        <v>185</v>
      </c>
      <c r="AB57" s="137"/>
      <c r="AC57" s="138"/>
      <c r="AD57" s="139"/>
      <c r="AE57" s="140">
        <f>IF(AD57&gt;0,INDEX(lerntab___0,AD57,1),0)</f>
        <v>0</v>
      </c>
      <c r="AF57" s="141">
        <f>ROUND(AE57*R57,0)</f>
        <v>0</v>
      </c>
      <c r="AG57" s="142"/>
      <c r="AH57" s="120"/>
      <c r="AI57" s="166"/>
      <c r="AJ57" s="139"/>
      <c r="AK57" s="175"/>
      <c r="AM57" s="140">
        <f>IF(Z57&gt;0,INDEX(lerntab___0,Z57,1),0)</f>
        <v>0</v>
      </c>
      <c r="AN57" s="146">
        <f>IF(LEFT(C57,1)="A",Y57,0)</f>
        <v>0</v>
      </c>
      <c r="AO57" s="146">
        <f>IF(LEFT(C57,1)="K",Y57,0)</f>
        <v>0</v>
      </c>
      <c r="AP57" s="146">
        <f>IF(LEFT(C57,1)="M",Y57,0)</f>
        <v>0</v>
      </c>
      <c r="AQ57" s="146"/>
      <c r="AR57" s="146">
        <f>IF(LEFT(M57,1)="A",AF57,0)</f>
        <v>0</v>
      </c>
      <c r="AS57" s="146">
        <f>IF(LEFT(M57,1)="K",AF57,0)</f>
        <v>0</v>
      </c>
      <c r="AT57" s="146">
        <f>IF(LEFT(M57,1)="M",AF57,0)</f>
        <v>0</v>
      </c>
      <c r="IT57"/>
      <c r="IU57"/>
      <c r="IV57"/>
    </row>
    <row r="58" spans="1:256" s="155" customFormat="1" ht="9" customHeight="1">
      <c r="A58" s="189" t="s">
        <v>186</v>
      </c>
      <c r="B58" s="192"/>
      <c r="C58" s="134" t="s">
        <v>56</v>
      </c>
      <c r="D58" s="134">
        <v>-15</v>
      </c>
      <c r="E58" s="150">
        <v>35</v>
      </c>
      <c r="F58" s="135">
        <f>(4*Ges+Kom)/5</f>
        <v>75</v>
      </c>
      <c r="G58" s="135">
        <f>IF(F58&lt;50,450-6*F58,IF(F58&lt;100,250-2*F58,75-F58/4))</f>
        <v>100</v>
      </c>
      <c r="H58" s="136">
        <f>G58*E58/100</f>
        <v>35</v>
      </c>
      <c r="I58" s="134">
        <f>E58*$Q$15/200</f>
        <v>17.5</v>
      </c>
      <c r="J58" s="131" t="s">
        <v>187</v>
      </c>
      <c r="K58" s="132"/>
      <c r="L58" s="133"/>
      <c r="M58" s="134" t="s">
        <v>75</v>
      </c>
      <c r="N58" s="134">
        <v>-10</v>
      </c>
      <c r="O58" s="134">
        <v>4</v>
      </c>
      <c r="P58" s="135">
        <f>(2*Kr___0+2*Ges+Kons)/5</f>
        <v>75</v>
      </c>
      <c r="Q58" s="135">
        <f>IF(P58&lt;50,450-6*P58,IF(P58&lt;100,250-2*P58,75-P58/4))</f>
        <v>100</v>
      </c>
      <c r="R58" s="136">
        <f>Q58*O58/100</f>
        <v>4</v>
      </c>
      <c r="S58" s="120"/>
      <c r="T58" s="191"/>
      <c r="U58" s="182" t="s">
        <v>186</v>
      </c>
      <c r="V58" s="194"/>
      <c r="W58" s="139"/>
      <c r="X58" s="140">
        <f>IF(W58&gt;0,INDEX(lerntab___0,W58,1),0)</f>
        <v>0</v>
      </c>
      <c r="Y58" s="141">
        <f>IF(W58&gt;Z63,ROUND(X58*H58,0),ROUND(X58*H58+(AM63-X58)*I58,0))</f>
        <v>0</v>
      </c>
      <c r="Z58" s="188"/>
      <c r="AA58" s="201" t="s">
        <v>188</v>
      </c>
      <c r="AB58" s="137"/>
      <c r="AC58" s="138"/>
      <c r="AD58" s="139"/>
      <c r="AE58" s="140">
        <f>IF(AD58&gt;0,INDEX(lerntab___0,AD58,1),0)</f>
        <v>0</v>
      </c>
      <c r="AF58" s="141">
        <f>ROUND(AE58*R58,0)</f>
        <v>0</v>
      </c>
      <c r="AG58" s="142"/>
      <c r="AH58" s="120"/>
      <c r="AI58" s="166"/>
      <c r="AJ58" s="139"/>
      <c r="AK58" s="175"/>
      <c r="AM58" s="140">
        <f>IF(Z58&gt;0,INDEX(lerntab___0,Z58,1),0)</f>
        <v>0</v>
      </c>
      <c r="AN58" s="146">
        <f>IF(LEFT(C58,1)="A",Y58,0)</f>
        <v>0</v>
      </c>
      <c r="AO58" s="146">
        <f>IF(LEFT(C58,1)="K",Y58,0)</f>
        <v>0</v>
      </c>
      <c r="AP58" s="146">
        <f>IF(LEFT(C58,1)="M",Y58,0)</f>
        <v>0</v>
      </c>
      <c r="AQ58" s="146"/>
      <c r="AR58" s="146">
        <f>IF(LEFT(M58,1)="A",AF58,0)</f>
        <v>0</v>
      </c>
      <c r="AS58" s="146">
        <f>IF(LEFT(M58,1)="K",AF58,0)</f>
        <v>0</v>
      </c>
      <c r="AT58" s="146">
        <f>IF(LEFT(M58,1)="M",AF58,0)</f>
        <v>0</v>
      </c>
      <c r="IT58"/>
      <c r="IU58"/>
      <c r="IV58"/>
    </row>
    <row r="59" spans="1:256" s="155" customFormat="1" ht="9" customHeight="1">
      <c r="A59" s="189" t="s">
        <v>189</v>
      </c>
      <c r="B59" s="192"/>
      <c r="C59" s="134" t="s">
        <v>56</v>
      </c>
      <c r="D59" s="134">
        <v>10</v>
      </c>
      <c r="E59" s="150">
        <v>20</v>
      </c>
      <c r="F59" s="135">
        <f>(3*Kr___0+2*Ges)/5</f>
        <v>75</v>
      </c>
      <c r="G59" s="135">
        <f>IF(F59&lt;50,450-6*F59,IF(F59&lt;100,250-2*F59,75-F59/4))</f>
        <v>100</v>
      </c>
      <c r="H59" s="136">
        <f>G59*E59/100</f>
        <v>20</v>
      </c>
      <c r="I59" s="134">
        <f>E59*$Q$15/200</f>
        <v>10</v>
      </c>
      <c r="J59" s="131" t="s">
        <v>190</v>
      </c>
      <c r="K59" s="132"/>
      <c r="L59" s="133"/>
      <c r="M59" s="134" t="s">
        <v>75</v>
      </c>
      <c r="N59" s="134">
        <v>5</v>
      </c>
      <c r="O59" s="134">
        <v>13</v>
      </c>
      <c r="P59" s="135">
        <f>(3*Kom+2*Ges)/5</f>
        <v>75</v>
      </c>
      <c r="Q59" s="135">
        <f>IF(P59&lt;50,450-6*P59,IF(P59&lt;100,250-2*P59,75-P59/4))</f>
        <v>100</v>
      </c>
      <c r="R59" s="136">
        <f>Q59*O59/100</f>
        <v>13</v>
      </c>
      <c r="S59" s="120"/>
      <c r="T59" s="191"/>
      <c r="U59" s="182" t="s">
        <v>189</v>
      </c>
      <c r="V59" s="194"/>
      <c r="W59" s="139"/>
      <c r="X59" s="140">
        <f>IF(W59&gt;0,INDEX(lerntab___0,W59,1),0)</f>
        <v>0</v>
      </c>
      <c r="Y59" s="141">
        <f>IF(W59&gt;Z64,ROUND(X59*H59,0),ROUND(X59*H59+(AM64-X59)*I59,0))</f>
        <v>0</v>
      </c>
      <c r="Z59" s="188"/>
      <c r="AA59" s="201" t="s">
        <v>191</v>
      </c>
      <c r="AB59" s="137"/>
      <c r="AC59" s="138"/>
      <c r="AD59" s="139"/>
      <c r="AE59" s="140">
        <f>IF(AD59&gt;0,INDEX(lerntab___0,AD59,1),0)</f>
        <v>0</v>
      </c>
      <c r="AF59" s="141">
        <f>ROUND(AE59*R59,0)</f>
        <v>0</v>
      </c>
      <c r="AG59" s="142"/>
      <c r="AH59" s="120"/>
      <c r="AI59" s="166"/>
      <c r="AJ59" s="139"/>
      <c r="AK59" s="175"/>
      <c r="AM59" s="140">
        <f>IF(Z59&gt;0,INDEX(lerntab___0,Z59,1),0)</f>
        <v>0</v>
      </c>
      <c r="AN59" s="146">
        <f>IF(LEFT(C59,1)="A",Y59,0)</f>
        <v>0</v>
      </c>
      <c r="AO59" s="146">
        <f>IF(LEFT(C59,1)="K",Y59,0)</f>
        <v>0</v>
      </c>
      <c r="AP59" s="146">
        <f>IF(LEFT(C59,1)="M",Y59,0)</f>
        <v>0</v>
      </c>
      <c r="AQ59" s="146"/>
      <c r="AR59" s="146">
        <f>IF(LEFT(M59,1)="A",AF59,0)</f>
        <v>0</v>
      </c>
      <c r="AS59" s="146">
        <f>IF(LEFT(M59,1)="K",AF59,0)</f>
        <v>0</v>
      </c>
      <c r="AT59" s="146">
        <f>IF(LEFT(M59,1)="M",AF59,0)</f>
        <v>0</v>
      </c>
      <c r="IT59"/>
      <c r="IU59"/>
      <c r="IV59"/>
    </row>
    <row r="60" spans="1:256" s="155" customFormat="1" ht="9" customHeight="1">
      <c r="A60" s="189" t="s">
        <v>192</v>
      </c>
      <c r="B60" s="192"/>
      <c r="C60" s="134" t="s">
        <v>56</v>
      </c>
      <c r="D60" s="134">
        <v>5</v>
      </c>
      <c r="E60" s="150">
        <v>23</v>
      </c>
      <c r="F60" s="135">
        <f>(2*Kr___0+3*Ges)/5</f>
        <v>75</v>
      </c>
      <c r="G60" s="135">
        <f>IF(F60&lt;50,450-6*F60,IF(F60&lt;100,250-2*F60,75-F60/4))</f>
        <v>100</v>
      </c>
      <c r="H60" s="136">
        <f>G60*E60/100</f>
        <v>23</v>
      </c>
      <c r="I60" s="134">
        <f>E60*$Q$15/200</f>
        <v>11.5</v>
      </c>
      <c r="J60" s="131" t="s">
        <v>193</v>
      </c>
      <c r="K60" s="132"/>
      <c r="L60" s="133"/>
      <c r="M60" s="134" t="s">
        <v>75</v>
      </c>
      <c r="N60" s="134">
        <v>0</v>
      </c>
      <c r="O60" s="134">
        <v>8</v>
      </c>
      <c r="P60" s="135">
        <f>(2*Kr___0+2*Schn___0+Ges)/5</f>
        <v>75</v>
      </c>
      <c r="Q60" s="135">
        <f>IF(P60&lt;50,450-6*P60,IF(P60&lt;100,250-2*P60,75-P60/4))</f>
        <v>100</v>
      </c>
      <c r="R60" s="136">
        <f>Q60*O60/100</f>
        <v>8</v>
      </c>
      <c r="S60" s="120"/>
      <c r="T60" s="191"/>
      <c r="U60" s="182" t="s">
        <v>192</v>
      </c>
      <c r="V60" s="194"/>
      <c r="W60" s="139"/>
      <c r="X60" s="140">
        <f>IF(W60&gt;0,INDEX(lerntab___0,W60,1),0)</f>
        <v>0</v>
      </c>
      <c r="Y60" s="141">
        <f>IF(W60&gt;Z65,ROUND(X60*H60,0),ROUND(X60*H60+(AM65-X60)*I60,0))</f>
        <v>0</v>
      </c>
      <c r="Z60" s="188"/>
      <c r="AA60" s="201" t="s">
        <v>194</v>
      </c>
      <c r="AB60" s="137"/>
      <c r="AC60" s="138"/>
      <c r="AD60" s="139"/>
      <c r="AE60" s="140">
        <f>IF(AD60&gt;0,INDEX(lerntab___0,AD60,1),0)</f>
        <v>0</v>
      </c>
      <c r="AF60" s="141">
        <f>ROUND(AE60*R60,0)</f>
        <v>0</v>
      </c>
      <c r="AG60" s="142"/>
      <c r="AH60" s="120"/>
      <c r="AI60" s="166"/>
      <c r="AJ60" s="205"/>
      <c r="AK60" s="206"/>
      <c r="AM60" s="140">
        <f>IF(Z60&gt;0,INDEX(lerntab___0,Z60,1),0)</f>
        <v>0</v>
      </c>
      <c r="AN60" s="146">
        <f>IF(LEFT(C60,1)="A",Y60,0)</f>
        <v>0</v>
      </c>
      <c r="AO60" s="146">
        <f>IF(LEFT(C60,1)="K",Y60,0)</f>
        <v>0</v>
      </c>
      <c r="AP60" s="146">
        <f>IF(LEFT(C60,1)="M",Y60,0)</f>
        <v>0</v>
      </c>
      <c r="AQ60" s="146"/>
      <c r="AR60" s="146">
        <f>IF(LEFT(M60,1)="A",AF60,0)</f>
        <v>0</v>
      </c>
      <c r="AS60" s="146">
        <f>IF(LEFT(M60,1)="K",AF60,0)</f>
        <v>0</v>
      </c>
      <c r="AT60" s="146">
        <f>IF(LEFT(M60,1)="M",AF60,0)</f>
        <v>0</v>
      </c>
      <c r="IT60"/>
      <c r="IU60"/>
      <c r="IV60"/>
    </row>
    <row r="61" spans="1:256" s="155" customFormat="1" ht="9" customHeight="1">
      <c r="A61" s="189" t="s">
        <v>195</v>
      </c>
      <c r="B61" s="192"/>
      <c r="C61" s="134" t="s">
        <v>56</v>
      </c>
      <c r="D61" s="134">
        <v>0</v>
      </c>
      <c r="E61" s="150">
        <v>30</v>
      </c>
      <c r="F61" s="135">
        <f>(3*Ges+Kom+Int)/5</f>
        <v>75</v>
      </c>
      <c r="G61" s="135">
        <f>IF(F61&lt;50,450-6*F61,IF(F61&lt;100,250-2*F61,75-F61/4))</f>
        <v>100</v>
      </c>
      <c r="H61" s="136">
        <f>G61*E61/100</f>
        <v>30</v>
      </c>
      <c r="I61" s="134">
        <f>E61*$Q$15/200</f>
        <v>15</v>
      </c>
      <c r="J61" s="131" t="s">
        <v>196</v>
      </c>
      <c r="K61" s="132"/>
      <c r="L61" s="133"/>
      <c r="M61" s="134" t="s">
        <v>142</v>
      </c>
      <c r="N61" s="134">
        <v>-10</v>
      </c>
      <c r="O61" s="134">
        <v>20</v>
      </c>
      <c r="P61" s="135">
        <f>(2*Kr___0+3*Ges)/5</f>
        <v>75</v>
      </c>
      <c r="Q61" s="135">
        <f>IF(P61&lt;50,450-6*P61,IF(P61&lt;100,250-2*P61,75-P61/4))</f>
        <v>100</v>
      </c>
      <c r="R61" s="136">
        <f>Q61*O61/100</f>
        <v>20</v>
      </c>
      <c r="S61" s="120"/>
      <c r="T61" s="191"/>
      <c r="U61" s="182" t="s">
        <v>195</v>
      </c>
      <c r="V61" s="194"/>
      <c r="W61" s="139"/>
      <c r="X61" s="140">
        <f>IF(W61&gt;0,INDEX(lerntab___0,W61,1),0)</f>
        <v>0</v>
      </c>
      <c r="Y61" s="141">
        <f>IF(W61&gt;Z69,ROUND(X61*H61,0),ROUND(X61*H61+(AM69-X61)*I61,0))</f>
        <v>0</v>
      </c>
      <c r="Z61" s="188"/>
      <c r="AA61" s="201" t="s">
        <v>197</v>
      </c>
      <c r="AB61" s="137"/>
      <c r="AC61" s="138"/>
      <c r="AD61" s="139">
        <f>M105</f>
        <v>30</v>
      </c>
      <c r="AE61" s="140">
        <f>IF(AD61&gt;0,INDEX(lerntab___0,AD61,1),0)</f>
        <v>85</v>
      </c>
      <c r="AF61" s="141">
        <f>ROUND(AE61*R61,0)</f>
        <v>1700</v>
      </c>
      <c r="AG61" s="142"/>
      <c r="AH61" s="120"/>
      <c r="AI61" s="166"/>
      <c r="AJ61" s="139"/>
      <c r="AK61" s="175"/>
      <c r="AM61" s="140">
        <f>IF(Z61&gt;0,INDEX(lerntab___0,Z61,1),0)</f>
        <v>0</v>
      </c>
      <c r="AN61" s="146">
        <f>IF(LEFT(C61,1)="A",Y61,0)</f>
        <v>0</v>
      </c>
      <c r="AO61" s="146">
        <f>IF(LEFT(C61,1)="K",Y61,0)</f>
        <v>0</v>
      </c>
      <c r="AP61" s="146">
        <f>IF(LEFT(C61,1)="M",Y61,0)</f>
        <v>0</v>
      </c>
      <c r="AQ61" s="146"/>
      <c r="AR61" s="146">
        <f>IF(LEFT(M61,1)="A",AF61,0)</f>
        <v>0</v>
      </c>
      <c r="AS61" s="146">
        <f>IF(LEFT(M61,1)="K",AF61,0)</f>
        <v>1700</v>
      </c>
      <c r="AT61" s="146">
        <f>IF(LEFT(M61,1)="M",AF61,0)</f>
        <v>0</v>
      </c>
      <c r="IT61"/>
      <c r="IU61"/>
      <c r="IV61"/>
    </row>
    <row r="62" spans="1:256" s="155" customFormat="1" ht="9" customHeight="1">
      <c r="A62" s="189" t="s">
        <v>198</v>
      </c>
      <c r="B62" s="192"/>
      <c r="C62" s="134" t="s">
        <v>56</v>
      </c>
      <c r="D62" s="134">
        <v>10</v>
      </c>
      <c r="E62" s="150">
        <v>15</v>
      </c>
      <c r="F62" s="135">
        <f>(3*Kr___0+2*Ges)/5</f>
        <v>75</v>
      </c>
      <c r="G62" s="135">
        <f>IF(F62&lt;50,450-6*F62,IF(F62&lt;100,250-2*F62,75-F62/4))</f>
        <v>100</v>
      </c>
      <c r="H62" s="136">
        <f>G62*E62/100</f>
        <v>15</v>
      </c>
      <c r="I62" s="134">
        <f>E62*$Q$15/200</f>
        <v>7.5</v>
      </c>
      <c r="J62" s="131" t="s">
        <v>199</v>
      </c>
      <c r="K62" s="132"/>
      <c r="L62" s="133"/>
      <c r="M62" s="134" t="s">
        <v>75</v>
      </c>
      <c r="N62" s="134">
        <v>-15</v>
      </c>
      <c r="O62" s="134">
        <v>4</v>
      </c>
      <c r="P62" s="135">
        <f>(3*Kons+2*Kr___0)/5</f>
        <v>75</v>
      </c>
      <c r="Q62" s="135">
        <f>IF(P62&lt;50,450-6*P62,IF(P62&lt;100,250-2*P62,75-P62/4))</f>
        <v>100</v>
      </c>
      <c r="R62" s="136">
        <f>Q62*O62/100</f>
        <v>4</v>
      </c>
      <c r="S62" s="120"/>
      <c r="T62" s="191"/>
      <c r="U62" s="182" t="s">
        <v>198</v>
      </c>
      <c r="V62" s="194"/>
      <c r="W62" s="139"/>
      <c r="X62" s="140">
        <f>IF(W62&gt;0,INDEX(lerntab___0,W62,1),0)</f>
        <v>0</v>
      </c>
      <c r="Y62" s="141">
        <f>IF(W62&gt;Z70,ROUND(X62*H62,0),ROUND(X62*H62+(AM70-X62)*I62,0))</f>
        <v>0</v>
      </c>
      <c r="Z62" s="188"/>
      <c r="AA62" s="201" t="s">
        <v>200</v>
      </c>
      <c r="AB62" s="137"/>
      <c r="AC62" s="138"/>
      <c r="AD62" s="139"/>
      <c r="AE62" s="140">
        <f>IF(AD62&gt;0,INDEX(lerntab___0,AD62,1),0)</f>
        <v>0</v>
      </c>
      <c r="AF62" s="141">
        <f>ROUND(AE62*R62,0)</f>
        <v>0</v>
      </c>
      <c r="AG62" s="142"/>
      <c r="AH62" s="120"/>
      <c r="AI62" s="166"/>
      <c r="AJ62" s="139"/>
      <c r="AK62" s="175"/>
      <c r="AM62" s="140">
        <f>IF(Z62&gt;0,INDEX(lerntab___0,Z62,1),0)</f>
        <v>0</v>
      </c>
      <c r="AN62" s="146">
        <f>IF(LEFT(C62,1)="A",Y62,0)</f>
        <v>0</v>
      </c>
      <c r="AO62" s="146">
        <f>IF(LEFT(C62,1)="K",Y62,0)</f>
        <v>0</v>
      </c>
      <c r="AP62" s="146">
        <f>IF(LEFT(C62,1)="M",Y62,0)</f>
        <v>0</v>
      </c>
      <c r="AQ62" s="146"/>
      <c r="AR62" s="146">
        <f>IF(LEFT(M62,1)="A",AF62,0)</f>
        <v>0</v>
      </c>
      <c r="AS62" s="146">
        <f>IF(LEFT(M62,1)="K",AF62,0)</f>
        <v>0</v>
      </c>
      <c r="AT62" s="146">
        <f>IF(LEFT(M62,1)="M",AF62,0)</f>
        <v>0</v>
      </c>
      <c r="IT62"/>
      <c r="IU62"/>
      <c r="IV62"/>
    </row>
    <row r="63" spans="1:256" s="155" customFormat="1" ht="9" customHeight="1">
      <c r="A63" s="189" t="s">
        <v>201</v>
      </c>
      <c r="B63" s="192"/>
      <c r="C63" s="134" t="s">
        <v>56</v>
      </c>
      <c r="D63" s="134">
        <v>0</v>
      </c>
      <c r="E63" s="150">
        <v>25</v>
      </c>
      <c r="F63" s="135">
        <f>(Kr___0+4*Ges)/5</f>
        <v>75</v>
      </c>
      <c r="G63" s="135">
        <f>IF(F63&lt;50,450-6*F63,IF(F63&lt;100,250-2*F63,75-F63/4))</f>
        <v>100</v>
      </c>
      <c r="H63" s="136">
        <f>G63*E63/100</f>
        <v>25</v>
      </c>
      <c r="I63" s="134">
        <f>E63*$Q$15/200</f>
        <v>12.5</v>
      </c>
      <c r="J63" s="197" t="s">
        <v>202</v>
      </c>
      <c r="K63" s="198"/>
      <c r="L63" s="198"/>
      <c r="M63" s="182"/>
      <c r="N63" s="182"/>
      <c r="O63" s="182"/>
      <c r="P63" s="199"/>
      <c r="Q63" s="199"/>
      <c r="R63" s="200"/>
      <c r="S63" s="120"/>
      <c r="T63" s="191"/>
      <c r="U63" s="182" t="s">
        <v>201</v>
      </c>
      <c r="V63" s="194"/>
      <c r="W63" s="139"/>
      <c r="X63" s="140">
        <f>IF(W63&gt;0,INDEX(lerntab___0,W63,1),0)</f>
        <v>0</v>
      </c>
      <c r="Y63" s="141">
        <f>IF(W63&gt;Z71,ROUND(X63*H63,0),ROUND(X63*H63+(AM71-X63)*I63,0))</f>
        <v>0</v>
      </c>
      <c r="Z63" s="188"/>
      <c r="AA63" s="197" t="s">
        <v>202</v>
      </c>
      <c r="AB63" s="127"/>
      <c r="AC63" s="127"/>
      <c r="AD63" s="181"/>
      <c r="AE63" s="182"/>
      <c r="AF63" s="183"/>
      <c r="AG63" s="142"/>
      <c r="AH63" s="120"/>
      <c r="AI63" s="166"/>
      <c r="AJ63" s="139"/>
      <c r="AK63" s="175"/>
      <c r="AM63" s="140">
        <f>IF(Z63&gt;0,INDEX(lerntab___0,Z63,1),0)</f>
        <v>0</v>
      </c>
      <c r="AN63" s="146">
        <f>IF(LEFT(C63,1)="A",Y63,0)</f>
        <v>0</v>
      </c>
      <c r="AO63" s="146">
        <f>IF(LEFT(C63,1)="K",Y63,0)</f>
        <v>0</v>
      </c>
      <c r="AP63" s="146">
        <f>IF(LEFT(C63,1)="M",Y63,0)</f>
        <v>0</v>
      </c>
      <c r="AQ63" s="146"/>
      <c r="AR63" s="146">
        <f>IF(LEFT(M63,1)="A",AF63,0)</f>
        <v>0</v>
      </c>
      <c r="AS63" s="146">
        <f>IF(LEFT(M63,1)="K",AF63,0)</f>
        <v>0</v>
      </c>
      <c r="AT63" s="146">
        <f>IF(LEFT(M63,1)="M",AF63,0)</f>
        <v>0</v>
      </c>
      <c r="IT63"/>
      <c r="IU63"/>
      <c r="IV63"/>
    </row>
    <row r="64" spans="1:256" s="155" customFormat="1" ht="9" customHeight="1">
      <c r="A64" s="189" t="s">
        <v>203</v>
      </c>
      <c r="B64" s="192"/>
      <c r="C64" s="134" t="s">
        <v>56</v>
      </c>
      <c r="D64" s="134">
        <v>5</v>
      </c>
      <c r="E64" s="150">
        <v>24</v>
      </c>
      <c r="F64" s="135">
        <f>(2*Kr___0+3*Ges)/5</f>
        <v>75</v>
      </c>
      <c r="G64" s="135">
        <f>IF(F64&lt;50,450-6*F64,IF(F64&lt;100,250-2*F64,75-F64/4))</f>
        <v>100</v>
      </c>
      <c r="H64" s="136">
        <f>G64*E64/100</f>
        <v>24</v>
      </c>
      <c r="I64" s="134">
        <f>E64*$Q$15/200</f>
        <v>12</v>
      </c>
      <c r="J64" s="131" t="s">
        <v>204</v>
      </c>
      <c r="K64" s="132"/>
      <c r="L64" s="133"/>
      <c r="M64" s="134" t="s">
        <v>62</v>
      </c>
      <c r="N64" s="134">
        <v>40</v>
      </c>
      <c r="O64" s="134">
        <v>130</v>
      </c>
      <c r="P64" s="135">
        <f>(4*Int+Sym___0)/5</f>
        <v>68.8</v>
      </c>
      <c r="Q64" s="135">
        <f>IF(P64&lt;50,450-6*P64,IF(P64&lt;100,250-2*P64,75-P64/4))</f>
        <v>112.4</v>
      </c>
      <c r="R64" s="136">
        <f>Q64*O64/100</f>
        <v>146.12</v>
      </c>
      <c r="S64" s="120"/>
      <c r="T64" s="191"/>
      <c r="U64" s="182" t="s">
        <v>203</v>
      </c>
      <c r="V64" s="194"/>
      <c r="W64" s="139"/>
      <c r="X64" s="140">
        <f>IF(W64&gt;0,INDEX(lerntab___0,W64,1),0)</f>
        <v>0</v>
      </c>
      <c r="Y64" s="141">
        <f>IF(W64&gt;Z72,ROUND(X64*H64,0),ROUND(X64*H64+(AM72-X64)*I64,0))</f>
        <v>0</v>
      </c>
      <c r="Z64" s="188"/>
      <c r="AA64" s="131" t="s">
        <v>204</v>
      </c>
      <c r="AB64" s="137"/>
      <c r="AC64" s="138"/>
      <c r="AD64" s="139"/>
      <c r="AE64" s="140">
        <f>IF(AD64&gt;0,INDEX(lerntab___0,AD64,1),0)</f>
        <v>0</v>
      </c>
      <c r="AF64" s="141">
        <f>ROUND(AE64*R64,0)</f>
        <v>0</v>
      </c>
      <c r="AG64" s="142"/>
      <c r="AH64" s="120"/>
      <c r="AI64" s="166"/>
      <c r="AJ64" s="139"/>
      <c r="AK64" s="175"/>
      <c r="AM64" s="140">
        <f>IF(Z64&gt;0,INDEX(lerntab___0,Z64,1),0)</f>
        <v>0</v>
      </c>
      <c r="AN64" s="146">
        <f>IF(LEFT(C64,1)="A",Y64,0)</f>
        <v>0</v>
      </c>
      <c r="AO64" s="146">
        <f>IF(LEFT(C64,1)="K",Y64,0)</f>
        <v>0</v>
      </c>
      <c r="AP64" s="146">
        <f>IF(LEFT(C64,1)="M",Y64,0)</f>
        <v>0</v>
      </c>
      <c r="AQ64" s="146"/>
      <c r="AR64" s="146">
        <f>IF(LEFT(M64,1)="A",AF64,0)</f>
        <v>0</v>
      </c>
      <c r="AS64" s="146">
        <f>IF(LEFT(M64,1)="K",AF64,0)</f>
        <v>0</v>
      </c>
      <c r="AT64" s="146">
        <f>IF(LEFT(M64,1)="M",AF64,0)</f>
        <v>0</v>
      </c>
      <c r="IT64"/>
      <c r="IU64"/>
      <c r="IV64"/>
    </row>
    <row r="65" spans="1:256" s="155" customFormat="1" ht="9" customHeight="1">
      <c r="A65" s="147" t="s">
        <v>205</v>
      </c>
      <c r="B65" s="192"/>
      <c r="C65" s="134" t="s">
        <v>56</v>
      </c>
      <c r="D65" s="134">
        <v>0</v>
      </c>
      <c r="E65" s="150">
        <v>20</v>
      </c>
      <c r="F65" s="135">
        <f>(2*Ges+3*Kom)/5</f>
        <v>75</v>
      </c>
      <c r="G65" s="135">
        <f>IF(F65&lt;50,450-6*F65,IF(F65&lt;100,250-2*F65,75-F65/4))</f>
        <v>100</v>
      </c>
      <c r="H65" s="136">
        <f>G65*E65/100</f>
        <v>20</v>
      </c>
      <c r="I65" s="134">
        <f>E65*$Q$15/200</f>
        <v>10</v>
      </c>
      <c r="J65" s="131" t="s">
        <v>206</v>
      </c>
      <c r="K65" s="132"/>
      <c r="L65" s="133"/>
      <c r="M65" s="134" t="s">
        <v>207</v>
      </c>
      <c r="N65" s="134">
        <v>40</v>
      </c>
      <c r="O65" s="134">
        <v>170</v>
      </c>
      <c r="P65" s="135">
        <f>(3*Int+2*Sym___0)/5</f>
        <v>62.6</v>
      </c>
      <c r="Q65" s="135">
        <f>IF(P65&lt;50,450-6*P65,IF(P65&lt;100,250-2*P65,75-P65/4))</f>
        <v>124.8</v>
      </c>
      <c r="R65" s="136">
        <f>Q65*O65/100</f>
        <v>212.16</v>
      </c>
      <c r="S65" s="120"/>
      <c r="T65" s="187" t="s">
        <v>205</v>
      </c>
      <c r="U65" s="194"/>
      <c r="V65" s="194"/>
      <c r="W65" s="139"/>
      <c r="X65" s="140">
        <f>IF(W65&gt;0,INDEX(lerntab___0,W65,1),0)</f>
        <v>0</v>
      </c>
      <c r="Y65" s="141">
        <f>IF(W65&gt;Z73,ROUND(X65*H65,0),ROUND(X65*H65+(AM73-X65)*I65,0))</f>
        <v>0</v>
      </c>
      <c r="Z65" s="188"/>
      <c r="AA65" s="131" t="s">
        <v>206</v>
      </c>
      <c r="AB65" s="137"/>
      <c r="AC65" s="138"/>
      <c r="AD65" s="139"/>
      <c r="AE65" s="140">
        <f>IF(AD65&gt;0,INDEX(lerntab___0,AD65,1),0)</f>
        <v>0</v>
      </c>
      <c r="AF65" s="141">
        <f>ROUND(AE65*R65,0)</f>
        <v>0</v>
      </c>
      <c r="AG65" s="142"/>
      <c r="AH65" s="120"/>
      <c r="AI65" s="166"/>
      <c r="AJ65" s="139"/>
      <c r="AK65" s="175"/>
      <c r="AM65" s="140">
        <f>IF(Z65&gt;0,INDEX(lerntab___0,Z65,1),0)</f>
        <v>0</v>
      </c>
      <c r="AN65" s="146">
        <f>IF(LEFT(C65,1)="A",Y65,0)</f>
        <v>0</v>
      </c>
      <c r="AO65" s="146">
        <f>IF(LEFT(C65,1)="K",Y65,0)</f>
        <v>0</v>
      </c>
      <c r="AP65" s="146">
        <f>IF(LEFT(C65,1)="M",Y65,0)</f>
        <v>0</v>
      </c>
      <c r="AQ65" s="146"/>
      <c r="AR65" s="146">
        <f>IF(LEFT(M65,1)="A",AF65,0)</f>
        <v>0</v>
      </c>
      <c r="AS65" s="146">
        <f>IF(LEFT(M65,1)="K",AF65,0)</f>
        <v>0</v>
      </c>
      <c r="AT65" s="146">
        <f>IF(LEFT(M65,1)="M",AF65,0)</f>
        <v>0</v>
      </c>
      <c r="IT65"/>
      <c r="IU65"/>
      <c r="IV65"/>
    </row>
    <row r="66" spans="1:256" s="155" customFormat="1" ht="9" customHeight="1">
      <c r="A66" s="147" t="s">
        <v>208</v>
      </c>
      <c r="B66" s="192"/>
      <c r="C66" s="134" t="s">
        <v>56</v>
      </c>
      <c r="D66" s="134" t="s">
        <v>97</v>
      </c>
      <c r="E66" s="150">
        <v>20</v>
      </c>
      <c r="F66" s="135">
        <f>(2*Kr___0+2*Ges+Kom)/5</f>
        <v>75</v>
      </c>
      <c r="G66" s="135">
        <f>IF(F66&lt;50,450-6*F66,IF(F66&lt;100,250-2*F66,75-F66/4))</f>
        <v>100</v>
      </c>
      <c r="H66" s="136">
        <f>G66*E66/100</f>
        <v>20</v>
      </c>
      <c r="I66" s="134">
        <f>E66*$Q$15/200</f>
        <v>10</v>
      </c>
      <c r="J66" s="131" t="s">
        <v>209</v>
      </c>
      <c r="K66" s="132"/>
      <c r="L66" s="133"/>
      <c r="M66" s="134" t="s">
        <v>207</v>
      </c>
      <c r="N66" s="134">
        <v>5</v>
      </c>
      <c r="O66" s="134">
        <v>100</v>
      </c>
      <c r="P66" s="135">
        <f>(2*Ges+2*Schn___0+Int)/5</f>
        <v>75</v>
      </c>
      <c r="Q66" s="135">
        <f>IF(P66&lt;50,450-6*P66,IF(P66&lt;100,250-2*P66,75-P66/4))</f>
        <v>100</v>
      </c>
      <c r="R66" s="136">
        <f>Q66*O66/100</f>
        <v>100</v>
      </c>
      <c r="S66" s="120"/>
      <c r="T66" s="187" t="s">
        <v>208</v>
      </c>
      <c r="U66" s="194"/>
      <c r="V66" s="194"/>
      <c r="W66" s="139"/>
      <c r="X66" s="140">
        <f>IF(W66&gt;0,INDEX(lerntab___0,W66,1),0)</f>
        <v>0</v>
      </c>
      <c r="Y66" s="141">
        <f>IF(W66&gt;Z76,ROUND(X66*H66,0),ROUND(X66*H66+(AM76-X66)*I66,0))</f>
        <v>0</v>
      </c>
      <c r="Z66" s="188"/>
      <c r="AA66" s="131" t="s">
        <v>209</v>
      </c>
      <c r="AB66" s="137"/>
      <c r="AC66" s="138"/>
      <c r="AD66" s="139"/>
      <c r="AE66" s="140">
        <f>IF(AD66&gt;0,INDEX(lerntab___0,AD66,1),0)</f>
        <v>0</v>
      </c>
      <c r="AF66" s="141">
        <f>ROUND(AE66*R66,0)</f>
        <v>0</v>
      </c>
      <c r="AG66" s="142"/>
      <c r="AH66" s="120"/>
      <c r="AI66" s="166"/>
      <c r="AJ66" s="139"/>
      <c r="AK66" s="175"/>
      <c r="AM66" s="140"/>
      <c r="AN66" s="146">
        <f>IF(LEFT(C66,1)="A",Y66,0)</f>
        <v>0</v>
      </c>
      <c r="AO66" s="146">
        <f>IF(LEFT(C66,1)="K",Y66,0)</f>
        <v>0</v>
      </c>
      <c r="AP66" s="146">
        <f>IF(LEFT(C66,1)="M",Y66,0)</f>
        <v>0</v>
      </c>
      <c r="AQ66" s="146"/>
      <c r="AR66" s="146">
        <f>IF(LEFT(M66,1)="A",AF66,0)</f>
        <v>0</v>
      </c>
      <c r="AS66" s="146">
        <f>IF(LEFT(M66,1)="K",AF66,0)</f>
        <v>0</v>
      </c>
      <c r="AT66" s="146">
        <f>IF(LEFT(M66,1)="M",AF66,0)</f>
        <v>0</v>
      </c>
      <c r="IT66"/>
      <c r="IU66"/>
      <c r="IV66"/>
    </row>
    <row r="67" spans="1:256" s="155" customFormat="1" ht="9" customHeight="1">
      <c r="A67" s="189" t="s">
        <v>210</v>
      </c>
      <c r="B67" s="192"/>
      <c r="C67" s="134" t="s">
        <v>56</v>
      </c>
      <c r="D67" s="134">
        <v>10</v>
      </c>
      <c r="E67" s="150">
        <v>15</v>
      </c>
      <c r="F67" s="135">
        <f>(3*Kr___0+2*Ges)/5</f>
        <v>75</v>
      </c>
      <c r="G67" s="135">
        <f>IF(F67&lt;50,450-6*F67,IF(F67&lt;100,250-2*F67,75-F67/4))</f>
        <v>100</v>
      </c>
      <c r="H67" s="136">
        <f>G67*E67/100</f>
        <v>15</v>
      </c>
      <c r="I67" s="134">
        <f>E67*$Q$15/200</f>
        <v>7.5</v>
      </c>
      <c r="J67" s="131" t="s">
        <v>211</v>
      </c>
      <c r="K67" s="132"/>
      <c r="L67" s="133"/>
      <c r="M67" s="134" t="s">
        <v>62</v>
      </c>
      <c r="N67" s="134" t="s">
        <v>97</v>
      </c>
      <c r="O67" s="134">
        <v>120</v>
      </c>
      <c r="P67" s="135">
        <f>(3*Ges+Schn___0+Kom)/5</f>
        <v>75</v>
      </c>
      <c r="Q67" s="135">
        <f>IF(P67&lt;50,450-6*P67,IF(P67&lt;100,250-2*P67,75-P67/4))</f>
        <v>100</v>
      </c>
      <c r="R67" s="136">
        <f>Q67*O67/100</f>
        <v>120</v>
      </c>
      <c r="S67" s="120"/>
      <c r="T67" s="191"/>
      <c r="U67" s="182" t="s">
        <v>210</v>
      </c>
      <c r="V67" s="194"/>
      <c r="W67" s="139"/>
      <c r="X67" s="140">
        <f>IF(W67&gt;0,INDEX(lerntab___0,W67,1),0)</f>
        <v>0</v>
      </c>
      <c r="Y67" s="141">
        <f>IF(W67&gt;Z77,ROUND(X67*H67,0),ROUND(X67*H67+(AM77-X67)*I67,0))</f>
        <v>0</v>
      </c>
      <c r="Z67" s="188"/>
      <c r="AA67" s="131" t="s">
        <v>211</v>
      </c>
      <c r="AB67" s="137"/>
      <c r="AC67" s="138"/>
      <c r="AD67" s="139"/>
      <c r="AE67" s="140">
        <f>IF(AD67&gt;0,INDEX(lerntab___0,AD67,1),0)</f>
        <v>0</v>
      </c>
      <c r="AF67" s="141">
        <f>ROUND(AE67*R67,0)</f>
        <v>0</v>
      </c>
      <c r="AG67" s="142"/>
      <c r="AH67" s="120"/>
      <c r="AI67" s="166"/>
      <c r="AJ67" s="139"/>
      <c r="AK67" s="175"/>
      <c r="AM67" s="140"/>
      <c r="AN67" s="146">
        <f>IF(LEFT(C67,1)="A",Y67,0)</f>
        <v>0</v>
      </c>
      <c r="AO67" s="146">
        <f>IF(LEFT(C67,1)="K",Y67,0)</f>
        <v>0</v>
      </c>
      <c r="AP67" s="146">
        <f>IF(LEFT(C67,1)="M",Y67,0)</f>
        <v>0</v>
      </c>
      <c r="AQ67" s="146"/>
      <c r="AR67" s="146">
        <f>IF(LEFT(M67,1)="A",AF67,0)</f>
        <v>0</v>
      </c>
      <c r="AS67" s="146">
        <f>IF(LEFT(M67,1)="K",AF67,0)</f>
        <v>0</v>
      </c>
      <c r="AT67" s="146">
        <f>IF(LEFT(M67,1)="M",AF67,0)</f>
        <v>0</v>
      </c>
      <c r="IT67"/>
      <c r="IU67"/>
      <c r="IV67"/>
    </row>
    <row r="68" spans="1:256" s="155" customFormat="1" ht="9" customHeight="1">
      <c r="A68" s="189" t="s">
        <v>212</v>
      </c>
      <c r="B68" s="192"/>
      <c r="C68" s="134" t="s">
        <v>56</v>
      </c>
      <c r="D68" s="134">
        <v>5</v>
      </c>
      <c r="E68" s="150">
        <v>15</v>
      </c>
      <c r="F68" s="135">
        <f>(2*Kr___0+3*Ges)/5</f>
        <v>75</v>
      </c>
      <c r="G68" s="135">
        <f>IF(F68&lt;50,450-6*F68,IF(F68&lt;100,250-2*F68,75-F68/4))</f>
        <v>100</v>
      </c>
      <c r="H68" s="136">
        <f>G68*E68/100</f>
        <v>15</v>
      </c>
      <c r="I68" s="134">
        <f>E68*$Q$15/200</f>
        <v>7.5</v>
      </c>
      <c r="J68" s="131" t="s">
        <v>213</v>
      </c>
      <c r="K68" s="132"/>
      <c r="L68" s="133"/>
      <c r="M68" s="134" t="s">
        <v>207</v>
      </c>
      <c r="N68" s="134">
        <v>40</v>
      </c>
      <c r="O68" s="134">
        <v>90</v>
      </c>
      <c r="P68" s="135">
        <f>(4*Int+Mt___0)/5</f>
        <v>75</v>
      </c>
      <c r="Q68" s="135">
        <f>IF(P68&lt;50,450-6*P68,IF(P68&lt;100,250-2*P68,75-P68/4))</f>
        <v>100</v>
      </c>
      <c r="R68" s="136">
        <f>Q68*O68/100</f>
        <v>90</v>
      </c>
      <c r="S68" s="120"/>
      <c r="T68" s="191"/>
      <c r="U68" s="182" t="s">
        <v>212</v>
      </c>
      <c r="V68" s="194"/>
      <c r="W68" s="139"/>
      <c r="X68" s="140">
        <f>IF(W68&gt;0,INDEX(lerntab___0,W68,1),0)</f>
        <v>0</v>
      </c>
      <c r="Y68" s="141">
        <f>IF(W68&gt;Z78,ROUND(X68*H68,0),ROUND(X68*H68+(AM78-X68)*I68,0))</f>
        <v>0</v>
      </c>
      <c r="Z68" s="188"/>
      <c r="AA68" s="131" t="s">
        <v>213</v>
      </c>
      <c r="AB68" s="137"/>
      <c r="AC68" s="138"/>
      <c r="AD68" s="139"/>
      <c r="AE68" s="140">
        <f>IF(AD68&gt;0,INDEX(lerntab___0,AD68,1),0)</f>
        <v>0</v>
      </c>
      <c r="AF68" s="141">
        <f>ROUND(AE68*R68,0)</f>
        <v>0</v>
      </c>
      <c r="AG68" s="142"/>
      <c r="AH68" s="120"/>
      <c r="AI68" s="166"/>
      <c r="AJ68" s="139"/>
      <c r="AK68" s="175"/>
      <c r="AM68" s="140"/>
      <c r="AN68" s="146">
        <f>IF(LEFT(C68,1)="A",Y68,0)</f>
        <v>0</v>
      </c>
      <c r="AO68" s="146">
        <f>IF(LEFT(C68,1)="K",Y68,0)</f>
        <v>0</v>
      </c>
      <c r="AP68" s="146">
        <f>IF(LEFT(C68,1)="M",Y68,0)</f>
        <v>0</v>
      </c>
      <c r="AQ68" s="146"/>
      <c r="AR68" s="146">
        <f>IF(LEFT(M68,1)="A",AF68,0)</f>
        <v>0</v>
      </c>
      <c r="AS68" s="146">
        <f>IF(LEFT(M68,1)="K",AF68,0)</f>
        <v>0</v>
      </c>
      <c r="AT68" s="146">
        <f>IF(LEFT(M68,1)="M",AF68,0)</f>
        <v>0</v>
      </c>
      <c r="IT68"/>
      <c r="IU68"/>
      <c r="IV68"/>
    </row>
    <row r="69" spans="1:256" s="155" customFormat="1" ht="9" customHeight="1">
      <c r="A69" s="147" t="s">
        <v>214</v>
      </c>
      <c r="B69" s="192"/>
      <c r="C69" s="134" t="s">
        <v>56</v>
      </c>
      <c r="D69" s="134" t="s">
        <v>97</v>
      </c>
      <c r="E69" s="150">
        <v>25</v>
      </c>
      <c r="F69" s="135">
        <f>(3*Ges+Kom+Int)/5</f>
        <v>75</v>
      </c>
      <c r="G69" s="135">
        <f>IF(F69&lt;50,450-6*F69,IF(F69&lt;100,250-2*F69,75-F69/4))</f>
        <v>100</v>
      </c>
      <c r="H69" s="136">
        <f>G69*E69/100</f>
        <v>25</v>
      </c>
      <c r="I69" s="134">
        <f>E69*$Q$15/200</f>
        <v>12.5</v>
      </c>
      <c r="J69" s="131" t="s">
        <v>215</v>
      </c>
      <c r="K69" s="132"/>
      <c r="L69" s="133"/>
      <c r="M69" s="134" t="s">
        <v>216</v>
      </c>
      <c r="N69" s="134">
        <v>10</v>
      </c>
      <c r="O69" s="134">
        <v>110</v>
      </c>
      <c r="P69" s="135">
        <f>(3*Ges+2*Int)/5</f>
        <v>75</v>
      </c>
      <c r="Q69" s="135">
        <f>IF(P69&lt;50,450-6*P69,IF(P69&lt;100,250-2*P69,75-P69/4))</f>
        <v>100</v>
      </c>
      <c r="R69" s="136">
        <f>Q69*O69/100</f>
        <v>110</v>
      </c>
      <c r="S69" s="120"/>
      <c r="T69" s="187" t="s">
        <v>214</v>
      </c>
      <c r="U69" s="194"/>
      <c r="V69" s="194"/>
      <c r="W69" s="139"/>
      <c r="X69" s="140">
        <f>IF(W69&gt;0,INDEX(lerntab___0,W69,1),0)</f>
        <v>0</v>
      </c>
      <c r="Y69" s="141">
        <f>IF(W69&gt;Z80,ROUND(X69*H69,0),ROUND(X69*H69+(AM80-X69)*I69,0))</f>
        <v>0</v>
      </c>
      <c r="Z69" s="188"/>
      <c r="AA69" s="131" t="s">
        <v>215</v>
      </c>
      <c r="AB69" s="137"/>
      <c r="AC69" s="138"/>
      <c r="AD69" s="139"/>
      <c r="AE69" s="140">
        <f>IF(AD69&gt;0,INDEX(lerntab___0,AD69,1),0)</f>
        <v>0</v>
      </c>
      <c r="AF69" s="141">
        <f>ROUND(AE69*R69,0)</f>
        <v>0</v>
      </c>
      <c r="AG69" s="142"/>
      <c r="AH69" s="120"/>
      <c r="AI69" s="166"/>
      <c r="AJ69" s="139"/>
      <c r="AK69" s="175"/>
      <c r="AM69" s="140">
        <f>IF(Z69&gt;0,INDEX(lerntab___0,Z69,1),0)</f>
        <v>0</v>
      </c>
      <c r="AN69" s="146">
        <f>IF(LEFT(C69,1)="A",Y69,0)</f>
        <v>0</v>
      </c>
      <c r="AO69" s="146">
        <f>IF(LEFT(C69,1)="K",Y69,0)</f>
        <v>0</v>
      </c>
      <c r="AP69" s="146">
        <f>IF(LEFT(C69,1)="M",Y69,0)</f>
        <v>0</v>
      </c>
      <c r="AQ69" s="146"/>
      <c r="AR69" s="146">
        <f>IF(LEFT(M69,1)="A",AF69,0)</f>
        <v>0</v>
      </c>
      <c r="AS69" s="146">
        <f>IF(LEFT(M69,1)="K",AF69,0)</f>
        <v>0</v>
      </c>
      <c r="AT69" s="146">
        <f>IF(LEFT(M69,1)="M",AF69,0)</f>
        <v>0</v>
      </c>
      <c r="IT69"/>
      <c r="IU69"/>
      <c r="IV69"/>
    </row>
    <row r="70" spans="1:256" s="155" customFormat="1" ht="9" customHeight="1">
      <c r="A70" s="207" t="s">
        <v>217</v>
      </c>
      <c r="B70" s="192"/>
      <c r="C70" s="134" t="s">
        <v>56</v>
      </c>
      <c r="D70" s="134">
        <v>-5</v>
      </c>
      <c r="E70" s="150">
        <v>15</v>
      </c>
      <c r="F70" s="135">
        <f>(2*Ges+3*Int)/5</f>
        <v>75</v>
      </c>
      <c r="G70" s="135">
        <f>IF(F70&lt;50,450-6*F70,IF(F70&lt;100,250-2*F70,75-F70/4))</f>
        <v>100</v>
      </c>
      <c r="H70" s="136">
        <f>G70*E70/100</f>
        <v>15</v>
      </c>
      <c r="I70" s="134">
        <f>E70*$Q$15/200</f>
        <v>7.5</v>
      </c>
      <c r="J70" s="131" t="s">
        <v>218</v>
      </c>
      <c r="K70" s="132"/>
      <c r="L70" s="133"/>
      <c r="M70" s="134" t="s">
        <v>219</v>
      </c>
      <c r="N70" s="134">
        <v>40</v>
      </c>
      <c r="O70" s="134">
        <v>90</v>
      </c>
      <c r="P70" s="135">
        <f>(4*Int+Kom)/5</f>
        <v>75</v>
      </c>
      <c r="Q70" s="135">
        <f>IF(P70&lt;50,450-6*P70,IF(P70&lt;100,250-2*P70,75-P70/4))</f>
        <v>100</v>
      </c>
      <c r="R70" s="136">
        <f>Q70*O70/100</f>
        <v>90</v>
      </c>
      <c r="S70" s="120"/>
      <c r="T70" s="191"/>
      <c r="U70" s="182" t="s">
        <v>217</v>
      </c>
      <c r="V70" s="194"/>
      <c r="W70" s="139"/>
      <c r="X70" s="140">
        <f>IF(W70&gt;0,INDEX(lerntab___0,W70,1),0)</f>
        <v>0</v>
      </c>
      <c r="Y70" s="141">
        <f>IF(W70&gt;Z81,ROUND(X70*H70,0),ROUND(X70*H70+(AM81-X70)*I70,0))</f>
        <v>0</v>
      </c>
      <c r="Z70" s="188"/>
      <c r="AA70" s="131" t="s">
        <v>218</v>
      </c>
      <c r="AB70" s="137"/>
      <c r="AC70" s="138"/>
      <c r="AD70" s="139"/>
      <c r="AE70" s="140">
        <f>IF(AD70&gt;0,INDEX(lerntab___0,AD70,1),0)</f>
        <v>0</v>
      </c>
      <c r="AF70" s="141">
        <f>ROUND(AE70*R70,0)</f>
        <v>0</v>
      </c>
      <c r="AG70" s="142"/>
      <c r="AH70" s="120"/>
      <c r="AI70" s="121" t="s">
        <v>220</v>
      </c>
      <c r="AJ70" s="122"/>
      <c r="AK70" s="123"/>
      <c r="AM70" s="140">
        <f>IF(Z70&gt;0,INDEX(lerntab___0,Z70,1),0)</f>
        <v>0</v>
      </c>
      <c r="AN70" s="146">
        <f>IF(LEFT(C70,1)="A",Y70,0)</f>
        <v>0</v>
      </c>
      <c r="AO70" s="146">
        <f>IF(LEFT(C70,1)="K",Y70,0)</f>
        <v>0</v>
      </c>
      <c r="AP70" s="146">
        <f>IF(LEFT(C70,1)="M",Y70,0)</f>
        <v>0</v>
      </c>
      <c r="AQ70" s="146"/>
      <c r="AR70" s="146">
        <f>IF(LEFT(M70,1)="A",AF70,0)</f>
        <v>0</v>
      </c>
      <c r="AS70" s="146">
        <f>IF(LEFT(M70,1)="K",AF70,0)</f>
        <v>0</v>
      </c>
      <c r="AT70" s="146">
        <f>IF(LEFT(M70,1)="M",AF70,0)</f>
        <v>0</v>
      </c>
      <c r="IT70"/>
      <c r="IU70"/>
      <c r="IV70"/>
    </row>
    <row r="71" spans="1:256" s="155" customFormat="1" ht="9" customHeight="1">
      <c r="A71" s="131" t="s">
        <v>221</v>
      </c>
      <c r="B71" s="192"/>
      <c r="C71" s="134" t="s">
        <v>56</v>
      </c>
      <c r="D71" s="134">
        <v>-5</v>
      </c>
      <c r="E71" s="150">
        <v>20</v>
      </c>
      <c r="F71" s="135">
        <f>(Ges+4*Kom)/5</f>
        <v>75</v>
      </c>
      <c r="G71" s="135">
        <f>IF(F71&lt;50,450-6*F71,IF(F71&lt;100,250-2*F71,75-F71/4))</f>
        <v>100</v>
      </c>
      <c r="H71" s="136">
        <f>G71*E71/100</f>
        <v>20</v>
      </c>
      <c r="I71" s="134">
        <f>E71*$Q$15/200</f>
        <v>10</v>
      </c>
      <c r="J71" s="131" t="s">
        <v>222</v>
      </c>
      <c r="K71" s="132"/>
      <c r="L71" s="133"/>
      <c r="M71" s="134" t="s">
        <v>223</v>
      </c>
      <c r="N71" s="134">
        <v>-5</v>
      </c>
      <c r="O71" s="134">
        <v>170</v>
      </c>
      <c r="P71" s="135">
        <f>(2*Ges+2*Schn___0+Int)/5</f>
        <v>75</v>
      </c>
      <c r="Q71" s="135">
        <f>IF(P71&lt;50,450-6*P71,IF(P71&lt;100,250-2*P71,75-P71/4))</f>
        <v>100</v>
      </c>
      <c r="R71" s="136">
        <f>Q71*O71/100</f>
        <v>170</v>
      </c>
      <c r="S71" s="120"/>
      <c r="T71" s="191"/>
      <c r="U71" s="182" t="s">
        <v>221</v>
      </c>
      <c r="V71" s="194"/>
      <c r="W71" s="139"/>
      <c r="X71" s="140">
        <f>IF(W71&gt;0,INDEX(lerntab___0,W71,1),0)</f>
        <v>0</v>
      </c>
      <c r="Y71" s="141">
        <f>IF(W71&gt;Z82,ROUND(X71*H71,0),ROUND(X71*H71+(AM82-X71)*I71,0))</f>
        <v>0</v>
      </c>
      <c r="Z71" s="188"/>
      <c r="AA71" s="131" t="s">
        <v>222</v>
      </c>
      <c r="AB71" s="137"/>
      <c r="AC71" s="138"/>
      <c r="AD71" s="139"/>
      <c r="AE71" s="140">
        <f>IF(AD71&gt;0,INDEX(lerntab___0,AD71,1),0)</f>
        <v>0</v>
      </c>
      <c r="AF71" s="141">
        <f>ROUND(AE71*R71,0)</f>
        <v>0</v>
      </c>
      <c r="AG71" s="142"/>
      <c r="AH71" s="120"/>
      <c r="AI71" s="121" t="s">
        <v>41</v>
      </c>
      <c r="AJ71" s="143" t="s">
        <v>49</v>
      </c>
      <c r="AK71" s="144" t="s">
        <v>51</v>
      </c>
      <c r="AM71" s="140">
        <f>IF(Z71&gt;0,INDEX(lerntab___0,Z71,1),0)</f>
        <v>0</v>
      </c>
      <c r="AN71" s="146">
        <f>IF(LEFT(C71,1)="A",Y71,0)</f>
        <v>0</v>
      </c>
      <c r="AO71" s="146">
        <f>IF(LEFT(C71,1)="K",Y71,0)</f>
        <v>0</v>
      </c>
      <c r="AP71" s="146">
        <f>IF(LEFT(C71,1)="M",Y71,0)</f>
        <v>0</v>
      </c>
      <c r="AQ71" s="146"/>
      <c r="AR71" s="146">
        <f>IF(LEFT(M71,1)="A",AF71,0)</f>
        <v>0</v>
      </c>
      <c r="AS71" s="146">
        <f>IF(LEFT(M71,1)="K",AF71,0)</f>
        <v>0</v>
      </c>
      <c r="AT71" s="146">
        <f>IF(LEFT(M71,1)="M",AF71,0)</f>
        <v>0</v>
      </c>
      <c r="IT71"/>
      <c r="IU71"/>
      <c r="IV71"/>
    </row>
    <row r="72" spans="1:256" s="155" customFormat="1" ht="9" customHeight="1">
      <c r="A72" s="189" t="s">
        <v>224</v>
      </c>
      <c r="B72" s="192"/>
      <c r="C72" s="134" t="s">
        <v>56</v>
      </c>
      <c r="D72" s="134">
        <v>0</v>
      </c>
      <c r="E72" s="150">
        <v>18</v>
      </c>
      <c r="F72" s="135">
        <f>(2*Kr___0+3*Ges)/5</f>
        <v>75</v>
      </c>
      <c r="G72" s="135">
        <f>IF(F72&lt;50,450-6*F72,IF(F72&lt;100,250-2*F72,75-F72/4))</f>
        <v>100</v>
      </c>
      <c r="H72" s="136">
        <f>G72*E72/100</f>
        <v>18</v>
      </c>
      <c r="I72" s="134">
        <f>E72*$Q$15/200</f>
        <v>9</v>
      </c>
      <c r="J72" s="131" t="s">
        <v>225</v>
      </c>
      <c r="K72" s="132"/>
      <c r="L72" s="133"/>
      <c r="M72" s="134" t="s">
        <v>207</v>
      </c>
      <c r="N72" s="134" t="s">
        <v>97</v>
      </c>
      <c r="O72" s="134">
        <v>150</v>
      </c>
      <c r="P72" s="135">
        <f>(3*Ges+Schn___0+Int)/5</f>
        <v>75</v>
      </c>
      <c r="Q72" s="135">
        <f>IF(P72&lt;50,450-6*P72,IF(P72&lt;100,250-2*P72,75-P72/4))</f>
        <v>100</v>
      </c>
      <c r="R72" s="136">
        <f>Q72*O72/100</f>
        <v>150</v>
      </c>
      <c r="S72" s="120"/>
      <c r="T72" s="191"/>
      <c r="U72" s="182" t="s">
        <v>224</v>
      </c>
      <c r="V72" s="194"/>
      <c r="W72" s="139"/>
      <c r="X72" s="140">
        <f>IF(W72&gt;0,INDEX(lerntab___0,W72,1),0)</f>
        <v>0</v>
      </c>
      <c r="Y72" s="141">
        <f>IF(W72&gt;Z83,ROUND(X72*H72,0),ROUND(X72*H72+(AM83-X72)*I72,0))</f>
        <v>0</v>
      </c>
      <c r="Z72" s="188"/>
      <c r="AA72" s="131" t="s">
        <v>225</v>
      </c>
      <c r="AB72" s="137"/>
      <c r="AC72" s="138"/>
      <c r="AD72" s="139">
        <f>R102</f>
        <v>15</v>
      </c>
      <c r="AE72" s="140">
        <f>IF(AD72&gt;0,INDEX(lerntab___0,AD72,1),0)</f>
        <v>20</v>
      </c>
      <c r="AF72" s="141">
        <f>ROUND(AE72*R72,0)</f>
        <v>3000</v>
      </c>
      <c r="AG72" s="142"/>
      <c r="AH72" s="120"/>
      <c r="AI72" s="166"/>
      <c r="AJ72" s="139"/>
      <c r="AK72" s="175"/>
      <c r="AM72" s="140">
        <f>IF(Z72&gt;0,INDEX(lerntab___0,Z72,1),0)</f>
        <v>0</v>
      </c>
      <c r="AN72" s="146">
        <f>IF(LEFT(C72,1)="A",Y72,0)</f>
        <v>0</v>
      </c>
      <c r="AO72" s="146">
        <f>IF(LEFT(C72,1)="K",Y72,0)</f>
        <v>0</v>
      </c>
      <c r="AP72" s="146">
        <f>IF(LEFT(C72,1)="M",Y72,0)</f>
        <v>0</v>
      </c>
      <c r="AQ72" s="146"/>
      <c r="AR72" s="146">
        <f>IF(LEFT(M72,1)="A",AF72,0)</f>
        <v>3000</v>
      </c>
      <c r="AS72" s="146">
        <f>IF(LEFT(M72,1)="K",AF72,0)</f>
        <v>0</v>
      </c>
      <c r="AT72" s="146">
        <f>IF(LEFT(M72,1)="M",AF72,0)</f>
        <v>0</v>
      </c>
      <c r="IT72"/>
      <c r="IU72"/>
      <c r="IV72"/>
    </row>
    <row r="73" spans="1:256" s="155" customFormat="1" ht="9" customHeight="1">
      <c r="A73" s="189" t="s">
        <v>226</v>
      </c>
      <c r="B73" s="192"/>
      <c r="C73" s="134" t="s">
        <v>56</v>
      </c>
      <c r="D73" s="134">
        <v>0</v>
      </c>
      <c r="E73" s="150">
        <v>15</v>
      </c>
      <c r="F73" s="135">
        <f>(2*Kr___0+3*Ges)/5</f>
        <v>75</v>
      </c>
      <c r="G73" s="135">
        <f>IF(F73&lt;50,450-6*F73,IF(F73&lt;100,250-2*F73,75-F73/4))</f>
        <v>100</v>
      </c>
      <c r="H73" s="136">
        <f>G73*E73/100</f>
        <v>15</v>
      </c>
      <c r="I73" s="134">
        <f>E73*$Q$15/200</f>
        <v>7.5</v>
      </c>
      <c r="J73" s="131" t="s">
        <v>227</v>
      </c>
      <c r="K73" s="132"/>
      <c r="L73" s="133"/>
      <c r="M73" s="134" t="s">
        <v>228</v>
      </c>
      <c r="N73" s="134">
        <v>30</v>
      </c>
      <c r="O73" s="134">
        <v>30</v>
      </c>
      <c r="P73" s="135">
        <f>(3*Ges+2*Schn___0)/5</f>
        <v>75</v>
      </c>
      <c r="Q73" s="135">
        <f>IF(P73&lt;50,450-6*P73,IF(P73&lt;100,250-2*P73,75-P73/4))</f>
        <v>100</v>
      </c>
      <c r="R73" s="136">
        <f>Q73*O73/100</f>
        <v>30</v>
      </c>
      <c r="S73" s="120"/>
      <c r="T73" s="191"/>
      <c r="U73" s="182" t="s">
        <v>226</v>
      </c>
      <c r="V73" s="194"/>
      <c r="W73" s="139"/>
      <c r="X73" s="140">
        <f>IF(W73&gt;0,INDEX(lerntab___0,W73,1),0)</f>
        <v>0</v>
      </c>
      <c r="Y73" s="141">
        <f>IF(W73&gt;Z84,ROUND(X73*H73,0),ROUND(X73*H73+(AM84-X73)*I73,0))</f>
        <v>0</v>
      </c>
      <c r="Z73" s="188"/>
      <c r="AA73" s="131" t="s">
        <v>227</v>
      </c>
      <c r="AB73" s="137"/>
      <c r="AC73" s="138"/>
      <c r="AD73" s="139">
        <f>R103</f>
        <v>28</v>
      </c>
      <c r="AE73" s="140">
        <f>IF(AD73&gt;0,INDEX(lerntab___0,AD73,1),0)</f>
        <v>73</v>
      </c>
      <c r="AF73" s="141">
        <f>ROUND(AE73*R73,0)</f>
        <v>2190</v>
      </c>
      <c r="AG73" s="142"/>
      <c r="AH73" s="120"/>
      <c r="AI73" s="166"/>
      <c r="AJ73" s="139"/>
      <c r="AK73" s="175"/>
      <c r="AM73" s="140">
        <f>IF(Z73&gt;0,INDEX(lerntab___0,Z73,1),0)</f>
        <v>0</v>
      </c>
      <c r="AN73" s="146">
        <f>IF(LEFT(C73,1)="A",Y73,0)</f>
        <v>0</v>
      </c>
      <c r="AO73" s="146">
        <f>IF(LEFT(C73,1)="K",Y73,0)</f>
        <v>0</v>
      </c>
      <c r="AP73" s="146">
        <f>IF(LEFT(C73,1)="M",Y73,0)</f>
        <v>0</v>
      </c>
      <c r="AQ73" s="146"/>
      <c r="AR73" s="146">
        <f>IF(LEFT(M73,1)="A",AF73,0)</f>
        <v>2190</v>
      </c>
      <c r="AS73" s="146">
        <f>IF(LEFT(M73,1)="K",AF73,0)</f>
        <v>0</v>
      </c>
      <c r="AT73" s="146">
        <f>IF(LEFT(M73,1)="M",AF73,0)</f>
        <v>0</v>
      </c>
      <c r="IT73"/>
      <c r="IU73"/>
      <c r="IV73"/>
    </row>
    <row r="74" spans="1:256" s="155" customFormat="1" ht="9" customHeight="1">
      <c r="A74" s="189" t="s">
        <v>229</v>
      </c>
      <c r="B74" s="192"/>
      <c r="C74" s="134" t="s">
        <v>56</v>
      </c>
      <c r="D74" s="134">
        <v>-5</v>
      </c>
      <c r="E74" s="150">
        <v>15</v>
      </c>
      <c r="F74" s="135">
        <f>(3*Ges+2*Int)/5</f>
        <v>75</v>
      </c>
      <c r="G74" s="135">
        <f>IF(F74&lt;50,450-6*F74,IF(F74&lt;100,250-2*F74,75-F74/4))</f>
        <v>100</v>
      </c>
      <c r="H74" s="136">
        <f>G74*E74/100</f>
        <v>15</v>
      </c>
      <c r="I74" s="134">
        <f>E74*$Q$15/200</f>
        <v>7.5</v>
      </c>
      <c r="J74" s="208" t="s">
        <v>230</v>
      </c>
      <c r="K74" s="132"/>
      <c r="L74" s="133"/>
      <c r="M74" s="134" t="s">
        <v>58</v>
      </c>
      <c r="N74" s="134">
        <v>40</v>
      </c>
      <c r="O74" s="134">
        <v>80</v>
      </c>
      <c r="P74" s="135">
        <f>(3*Schn___0+2*Kom)/5</f>
        <v>75</v>
      </c>
      <c r="Q74" s="135">
        <f>IF(P74&lt;50,450-6*P74,IF(P74&lt;100,250-2*P74,75-P74/4))</f>
        <v>100</v>
      </c>
      <c r="R74" s="136">
        <f>Q74*O74/100</f>
        <v>80</v>
      </c>
      <c r="S74" s="120"/>
      <c r="T74" s="191"/>
      <c r="U74" s="182" t="s">
        <v>229</v>
      </c>
      <c r="V74" s="194"/>
      <c r="W74" s="139"/>
      <c r="X74" s="140">
        <f>IF(W74&gt;0,INDEX(lerntab___0,W74,1),0)</f>
        <v>0</v>
      </c>
      <c r="Y74" s="141">
        <f>IF(W74&gt;Z85,ROUND(X74*H74,0),ROUND(X74*H74+(AM85-X74)*I74,0))</f>
        <v>0</v>
      </c>
      <c r="Z74" s="188"/>
      <c r="AA74" s="208" t="s">
        <v>230</v>
      </c>
      <c r="AB74" s="137"/>
      <c r="AC74" s="138"/>
      <c r="AD74" s="139"/>
      <c r="AE74" s="140">
        <f>IF(AD74&gt;0,INDEX(lerntab___0,AD74,1),0)</f>
        <v>0</v>
      </c>
      <c r="AF74" s="141">
        <f>ROUND(AE74*R74,0)</f>
        <v>0</v>
      </c>
      <c r="AG74" s="142"/>
      <c r="AH74" s="120"/>
      <c r="AI74" s="166"/>
      <c r="AJ74" s="139"/>
      <c r="AK74" s="175"/>
      <c r="AM74" s="140"/>
      <c r="AN74" s="146">
        <f>IF(LEFT(C74,1)="A",Y74,0)</f>
        <v>0</v>
      </c>
      <c r="AO74" s="146">
        <f>IF(LEFT(C74,1)="K",Y74,0)</f>
        <v>0</v>
      </c>
      <c r="AP74" s="146">
        <f>IF(LEFT(C74,1)="M",Y74,0)</f>
        <v>0</v>
      </c>
      <c r="AQ74" s="146"/>
      <c r="AR74" s="146">
        <f>IF(LEFT(M74,1)="A",AF74,0)</f>
        <v>0</v>
      </c>
      <c r="AS74" s="146">
        <f>IF(LEFT(M74,1)="K",AF74,0)</f>
        <v>0</v>
      </c>
      <c r="AT74" s="146">
        <f>IF(LEFT(M74,1)="M",AF74,0)</f>
        <v>0</v>
      </c>
      <c r="IT74"/>
      <c r="IU74"/>
      <c r="IV74"/>
    </row>
    <row r="75" spans="1:256" s="155" customFormat="1" ht="9" customHeight="1">
      <c r="A75" s="189" t="s">
        <v>231</v>
      </c>
      <c r="B75" s="192"/>
      <c r="C75" s="134" t="s">
        <v>56</v>
      </c>
      <c r="D75" s="134">
        <v>0</v>
      </c>
      <c r="E75" s="150">
        <v>15</v>
      </c>
      <c r="F75" s="135">
        <f>(2*Kr___0+3*Ges)/5</f>
        <v>75</v>
      </c>
      <c r="G75" s="135">
        <f>IF(F75&lt;50,450-6*F75,IF(F75&lt;100,250-2*F75,75-F75/4))</f>
        <v>100</v>
      </c>
      <c r="H75" s="136">
        <f>G75*E75/100</f>
        <v>15</v>
      </c>
      <c r="I75" s="134">
        <f>E75*$Q$15/200</f>
        <v>7.5</v>
      </c>
      <c r="J75" s="131" t="s">
        <v>232</v>
      </c>
      <c r="K75" s="132"/>
      <c r="L75" s="133"/>
      <c r="M75" s="134" t="s">
        <v>207</v>
      </c>
      <c r="N75" s="134">
        <v>40</v>
      </c>
      <c r="O75" s="134">
        <v>100</v>
      </c>
      <c r="P75" s="135">
        <f>(Mt___0+4*Kom)/5</f>
        <v>75</v>
      </c>
      <c r="Q75" s="135">
        <f>IF(P75&lt;50,450-6*P75,IF(P75&lt;100,250-2*P75,75-P75/4))</f>
        <v>100</v>
      </c>
      <c r="R75" s="136">
        <f>Q75*O75/100</f>
        <v>100</v>
      </c>
      <c r="S75" s="120"/>
      <c r="T75" s="191"/>
      <c r="U75" s="182" t="s">
        <v>231</v>
      </c>
      <c r="V75" s="194"/>
      <c r="W75" s="139"/>
      <c r="X75" s="140">
        <f>IF(W75&gt;0,INDEX(lerntab___0,W75,1),0)</f>
        <v>0</v>
      </c>
      <c r="Y75" s="141">
        <f>IF(W75&gt;Z86,ROUND(X75*H75,0),ROUND(X75*H75+(AM86-X75)*I75,0))</f>
        <v>0</v>
      </c>
      <c r="Z75" s="188"/>
      <c r="AA75" s="131" t="s">
        <v>232</v>
      </c>
      <c r="AB75" s="137"/>
      <c r="AC75" s="138"/>
      <c r="AD75" s="139"/>
      <c r="AE75" s="140">
        <f>IF(AD75&gt;0,INDEX(lerntab___0,AD75,1),0)</f>
        <v>0</v>
      </c>
      <c r="AF75" s="141">
        <f>ROUND(AE75*R75,0)</f>
        <v>0</v>
      </c>
      <c r="AG75" s="142"/>
      <c r="AH75" s="120"/>
      <c r="AI75" s="166"/>
      <c r="AJ75" s="139"/>
      <c r="AK75" s="175"/>
      <c r="AM75" s="140"/>
      <c r="AN75" s="146">
        <f>IF(LEFT(C75,1)="A",Y75,0)</f>
        <v>0</v>
      </c>
      <c r="AO75" s="146">
        <f>IF(LEFT(C75,1)="K",Y75,0)</f>
        <v>0</v>
      </c>
      <c r="AP75" s="146">
        <f>IF(LEFT(C75,1)="M",Y75,0)</f>
        <v>0</v>
      </c>
      <c r="AQ75" s="146"/>
      <c r="AR75" s="146">
        <f>IF(LEFT(M75,1)="A",AF75,0)</f>
        <v>0</v>
      </c>
      <c r="AS75" s="146">
        <f>IF(LEFT(M75,1)="K",AF75,0)</f>
        <v>0</v>
      </c>
      <c r="AT75" s="146">
        <f>IF(LEFT(M75,1)="M",AF75,0)</f>
        <v>0</v>
      </c>
      <c r="IT75"/>
      <c r="IU75"/>
      <c r="IV75"/>
    </row>
    <row r="76" spans="1:256" s="155" customFormat="1" ht="9" customHeight="1">
      <c r="A76" s="147" t="s">
        <v>233</v>
      </c>
      <c r="B76" s="192"/>
      <c r="C76" s="134" t="s">
        <v>56</v>
      </c>
      <c r="D76" s="134" t="s">
        <v>97</v>
      </c>
      <c r="E76" s="150">
        <v>20</v>
      </c>
      <c r="F76" s="135">
        <f>(Kr___0+2*Ges+2*Kom)/5</f>
        <v>75</v>
      </c>
      <c r="G76" s="135">
        <f>IF(F76&lt;50,450-6*F76,IF(F76&lt;100,250-2*F76,75-F76/4))</f>
        <v>100</v>
      </c>
      <c r="H76" s="136">
        <f>G76*E76/100</f>
        <v>20</v>
      </c>
      <c r="I76" s="134">
        <f>E76*$Q$15/200</f>
        <v>10</v>
      </c>
      <c r="J76" s="131" t="s">
        <v>234</v>
      </c>
      <c r="K76" s="132"/>
      <c r="L76" s="133"/>
      <c r="M76" s="134" t="s">
        <v>142</v>
      </c>
      <c r="N76" s="134">
        <v>-5</v>
      </c>
      <c r="O76" s="134">
        <v>180</v>
      </c>
      <c r="P76" s="135">
        <f>(3*Ges+2*Schn___0)/5</f>
        <v>75</v>
      </c>
      <c r="Q76" s="135">
        <f>IF(P76&lt;50,450-6*P76,IF(P76&lt;100,250-2*P76,75-P76/4))</f>
        <v>100</v>
      </c>
      <c r="R76" s="136">
        <f>Q76*O76/100</f>
        <v>180</v>
      </c>
      <c r="S76" s="120"/>
      <c r="T76" s="187" t="s">
        <v>233</v>
      </c>
      <c r="U76" s="194"/>
      <c r="V76" s="194"/>
      <c r="W76" s="139"/>
      <c r="X76" s="140">
        <f>IF(W76&gt;0,INDEX(lerntab___0,W76,1),0)</f>
        <v>0</v>
      </c>
      <c r="Y76" s="141">
        <f>IF(W76&gt;Z87,ROUND(X76*H76,0),ROUND(X76*H76+(AM87-X76)*I76,0))</f>
        <v>0</v>
      </c>
      <c r="Z76" s="188"/>
      <c r="AA76" s="131" t="s">
        <v>234</v>
      </c>
      <c r="AB76" s="137"/>
      <c r="AC76" s="138"/>
      <c r="AD76" s="139"/>
      <c r="AE76" s="140">
        <f>IF(AD76&gt;0,INDEX(lerntab___0,AD76,1),0)</f>
        <v>0</v>
      </c>
      <c r="AF76" s="141">
        <f>ROUND(AE76*R76,0)</f>
        <v>0</v>
      </c>
      <c r="AG76" s="142"/>
      <c r="AH76" s="120"/>
      <c r="AI76" s="166"/>
      <c r="AJ76" s="139"/>
      <c r="AK76" s="175"/>
      <c r="AM76" s="140">
        <f>IF(Z76&gt;0,INDEX(lerntab___0,Z76,1),0)</f>
        <v>0</v>
      </c>
      <c r="AN76" s="146">
        <f>IF(LEFT(C76,1)="A",Y76,0)</f>
        <v>0</v>
      </c>
      <c r="AO76" s="146">
        <f>IF(LEFT(C76,1)="K",Y76,0)</f>
        <v>0</v>
      </c>
      <c r="AP76" s="146">
        <f>IF(LEFT(C76,1)="M",Y76,0)</f>
        <v>0</v>
      </c>
      <c r="AQ76" s="146"/>
      <c r="AR76" s="146">
        <f>IF(LEFT(M76,1)="A",AF76,0)</f>
        <v>0</v>
      </c>
      <c r="AS76" s="146">
        <f>IF(LEFT(M76,1)="K",AF76,0)</f>
        <v>0</v>
      </c>
      <c r="AT76" s="146">
        <f>IF(LEFT(M76,1)="M",AF76,0)</f>
        <v>0</v>
      </c>
      <c r="IT76"/>
      <c r="IU76"/>
      <c r="IV76"/>
    </row>
    <row r="77" spans="1:256" s="155" customFormat="1" ht="9" customHeight="1">
      <c r="A77" s="189" t="s">
        <v>235</v>
      </c>
      <c r="B77" s="192"/>
      <c r="C77" s="134" t="s">
        <v>56</v>
      </c>
      <c r="D77" s="134">
        <v>0</v>
      </c>
      <c r="E77" s="150">
        <v>30</v>
      </c>
      <c r="F77" s="135">
        <f>(2*Ges+3*Int)/5</f>
        <v>75</v>
      </c>
      <c r="G77" s="135">
        <f>IF(F77&lt;50,450-6*F77,IF(F77&lt;100,250-2*F77,75-F77/4))</f>
        <v>100</v>
      </c>
      <c r="H77" s="136">
        <f>G77*E77/100</f>
        <v>30</v>
      </c>
      <c r="I77" s="134">
        <f>E77*$Q$15/200</f>
        <v>15</v>
      </c>
      <c r="J77" s="131" t="s">
        <v>236</v>
      </c>
      <c r="K77" s="132"/>
      <c r="L77" s="133"/>
      <c r="M77" s="134" t="s">
        <v>62</v>
      </c>
      <c r="N77" s="134">
        <v>40</v>
      </c>
      <c r="O77" s="134">
        <v>95</v>
      </c>
      <c r="P77" s="135">
        <f>(3*Int+2*Kom)/5</f>
        <v>75</v>
      </c>
      <c r="Q77" s="135">
        <f>IF(P77&lt;50,450-6*P77,IF(P77&lt;100,250-2*P77,75-P77/4))</f>
        <v>100</v>
      </c>
      <c r="R77" s="136">
        <f>Q77*O77/100</f>
        <v>95</v>
      </c>
      <c r="S77" s="209"/>
      <c r="T77" s="191"/>
      <c r="U77" s="182" t="s">
        <v>235</v>
      </c>
      <c r="V77" s="194"/>
      <c r="W77" s="139"/>
      <c r="X77" s="140">
        <f>IF(W77&gt;0,INDEX(lerntab___0,W77,1),0)</f>
        <v>0</v>
      </c>
      <c r="Y77" s="141">
        <f>IF(W77&gt;Z88,ROUND(X77*H77,0),ROUND(X77*H77+(AM88-X77)*I77,0))</f>
        <v>0</v>
      </c>
      <c r="Z77" s="188"/>
      <c r="AA77" s="131" t="s">
        <v>236</v>
      </c>
      <c r="AB77" s="137"/>
      <c r="AC77" s="138"/>
      <c r="AD77" s="139">
        <f>R104</f>
        <v>25</v>
      </c>
      <c r="AE77" s="140">
        <f>IF(AD77&gt;0,INDEX(lerntab___0,AD77,1),0)</f>
        <v>55</v>
      </c>
      <c r="AF77" s="141">
        <f>ROUND(AE77*R77,0)</f>
        <v>5225</v>
      </c>
      <c r="AG77" s="142"/>
      <c r="AH77" s="210"/>
      <c r="AI77" s="166"/>
      <c r="AJ77" s="139"/>
      <c r="AK77" s="175"/>
      <c r="AM77" s="140">
        <f>IF(Z77&gt;0,INDEX(lerntab___0,Z77,1),0)</f>
        <v>0</v>
      </c>
      <c r="AN77" s="146">
        <f>IF(LEFT(C77,1)="A",Y77,0)</f>
        <v>0</v>
      </c>
      <c r="AO77" s="146">
        <f>IF(LEFT(C77,1)="K",Y77,0)</f>
        <v>0</v>
      </c>
      <c r="AP77" s="146">
        <f>IF(LEFT(C77,1)="M",Y77,0)</f>
        <v>0</v>
      </c>
      <c r="AQ77" s="146"/>
      <c r="AR77" s="146">
        <f>IF(LEFT(M77,1)="A",AF77,0)</f>
        <v>5225</v>
      </c>
      <c r="AS77" s="146">
        <f>IF(LEFT(M77,1)="K",AF77,0)</f>
        <v>0</v>
      </c>
      <c r="AT77" s="146">
        <f>IF(LEFT(M77,1)="M",AF77,0)</f>
        <v>0</v>
      </c>
      <c r="IT77"/>
      <c r="IU77"/>
      <c r="IV77"/>
    </row>
    <row r="78" spans="1:256" s="155" customFormat="1" ht="9" customHeight="1">
      <c r="A78" s="189" t="s">
        <v>237</v>
      </c>
      <c r="B78" s="192"/>
      <c r="C78" s="134" t="s">
        <v>56</v>
      </c>
      <c r="D78" s="134">
        <v>0</v>
      </c>
      <c r="E78" s="150">
        <v>28</v>
      </c>
      <c r="F78" s="135">
        <f>(2*Ges+3*Int)/5</f>
        <v>75</v>
      </c>
      <c r="G78" s="135">
        <f>IF(F78&lt;50,450-6*F78,IF(F78&lt;100,250-2*F78,75-F78/4))</f>
        <v>100</v>
      </c>
      <c r="H78" s="136">
        <f>G78*E78/100</f>
        <v>28</v>
      </c>
      <c r="I78" s="134">
        <f>E78*$Q$15/200</f>
        <v>14</v>
      </c>
      <c r="J78" s="131" t="s">
        <v>238</v>
      </c>
      <c r="K78" s="132"/>
      <c r="L78" s="133"/>
      <c r="M78" s="134" t="s">
        <v>58</v>
      </c>
      <c r="N78" s="134">
        <v>10</v>
      </c>
      <c r="O78" s="134">
        <v>100</v>
      </c>
      <c r="P78" s="135">
        <f>(3*Ges+Schn___0+Kom)/5</f>
        <v>75</v>
      </c>
      <c r="Q78" s="135">
        <f>IF(P78&lt;50,450-6*P78,IF(P78&lt;100,250-2*P78,75-P78/4))</f>
        <v>100</v>
      </c>
      <c r="R78" s="136">
        <f>Q78*O78/100</f>
        <v>100</v>
      </c>
      <c r="S78" s="209"/>
      <c r="T78" s="191"/>
      <c r="U78" s="182" t="s">
        <v>237</v>
      </c>
      <c r="V78" s="194"/>
      <c r="W78" s="139"/>
      <c r="X78" s="140">
        <f>IF(W78&gt;0,INDEX(lerntab___0,W78,1),0)</f>
        <v>0</v>
      </c>
      <c r="Y78" s="141">
        <f>IF(W78&gt;Z89,ROUND(X78*H78,0),ROUND(X78*H78+(AL89-X78)*I78,0))</f>
        <v>0</v>
      </c>
      <c r="Z78" s="188"/>
      <c r="AA78" s="131" t="s">
        <v>238</v>
      </c>
      <c r="AB78" s="137"/>
      <c r="AC78" s="138"/>
      <c r="AD78" s="139"/>
      <c r="AE78" s="140">
        <f>IF(AD78&gt;0,INDEX(lerntab___0,AD78,1),0)</f>
        <v>0</v>
      </c>
      <c r="AF78" s="141">
        <f>ROUND(AE78*R78,0)</f>
        <v>0</v>
      </c>
      <c r="AG78" s="142"/>
      <c r="AH78" s="210"/>
      <c r="AI78" s="166"/>
      <c r="AJ78" s="139"/>
      <c r="AK78" s="175"/>
      <c r="AM78" s="140">
        <f>IF(Z78&gt;0,INDEX(lerntab___0,Z78,1),0)</f>
        <v>0</v>
      </c>
      <c r="AN78" s="146">
        <f>IF(LEFT(C78,1)="A",Y78,0)</f>
        <v>0</v>
      </c>
      <c r="AO78" s="146">
        <f>IF(LEFT(C78,1)="K",Y78,0)</f>
        <v>0</v>
      </c>
      <c r="AP78" s="146">
        <f>IF(LEFT(C78,1)="M",Y78,0)</f>
        <v>0</v>
      </c>
      <c r="AQ78" s="146"/>
      <c r="AR78" s="146">
        <f>IF(LEFT(M78,1)="A",AF78,0)</f>
        <v>0</v>
      </c>
      <c r="AS78" s="146">
        <f>IF(LEFT(M78,1)="K",AF78,0)</f>
        <v>0</v>
      </c>
      <c r="AT78" s="146">
        <f>IF(LEFT(M78,1)="M",AF78,0)</f>
        <v>0</v>
      </c>
      <c r="IT78"/>
      <c r="IU78"/>
      <c r="IV78"/>
    </row>
    <row r="79" spans="1:256" s="155" customFormat="1" ht="9" customHeight="1">
      <c r="A79" s="189" t="s">
        <v>239</v>
      </c>
      <c r="B79" s="192"/>
      <c r="C79" s="134" t="s">
        <v>56</v>
      </c>
      <c r="D79" s="134">
        <v>0</v>
      </c>
      <c r="E79" s="150">
        <v>15</v>
      </c>
      <c r="F79" s="135">
        <f>(2*Kr___0+3*Ges)/5</f>
        <v>75</v>
      </c>
      <c r="G79" s="135">
        <f>IF(F79&lt;50,450-6*F79,IF(F79&lt;100,250-2*F79,75-F79/4))</f>
        <v>100</v>
      </c>
      <c r="H79" s="136">
        <f>G79*E79/100</f>
        <v>15</v>
      </c>
      <c r="I79" s="134">
        <f>E79*$Q$15/200</f>
        <v>7.5</v>
      </c>
      <c r="J79" s="131" t="s">
        <v>240</v>
      </c>
      <c r="K79" s="132"/>
      <c r="L79" s="133"/>
      <c r="M79" s="134" t="s">
        <v>216</v>
      </c>
      <c r="N79" s="134">
        <v>20</v>
      </c>
      <c r="O79" s="134">
        <v>95</v>
      </c>
      <c r="P79" s="135">
        <f>(2*Schn___0+2*Int+Kom)/5</f>
        <v>75</v>
      </c>
      <c r="Q79" s="135">
        <f>IF(P79&lt;50,450-6*P79,IF(P79&lt;100,250-2*P79,75-P79/4))</f>
        <v>100</v>
      </c>
      <c r="R79" s="136">
        <f>Q79*O79/100</f>
        <v>95</v>
      </c>
      <c r="S79" s="209"/>
      <c r="T79" s="191"/>
      <c r="U79" s="182" t="s">
        <v>239</v>
      </c>
      <c r="V79" s="194"/>
      <c r="W79" s="139"/>
      <c r="X79" s="140">
        <f>IF(W79&gt;0,INDEX(lerntab___0,W79,1),0)</f>
        <v>0</v>
      </c>
      <c r="Y79" s="141">
        <f>IF(W79&gt;Z90,ROUND(X79*H79,0),ROUND(X79*H79+(AL90-X79)*I79,0))</f>
        <v>0</v>
      </c>
      <c r="Z79" s="188"/>
      <c r="AA79" s="131" t="s">
        <v>240</v>
      </c>
      <c r="AB79" s="137"/>
      <c r="AC79" s="138"/>
      <c r="AD79" s="139">
        <f>R105</f>
        <v>14</v>
      </c>
      <c r="AE79" s="140">
        <f>IF(AD79&gt;0,INDEX(lerntab___0,AD79,1),0)</f>
        <v>18</v>
      </c>
      <c r="AF79" s="141">
        <f>ROUND(AE79*R79,0)</f>
        <v>1710</v>
      </c>
      <c r="AG79" s="142"/>
      <c r="AH79" s="210"/>
      <c r="AI79" s="166"/>
      <c r="AJ79" s="139"/>
      <c r="AK79" s="175"/>
      <c r="AM79" s="140"/>
      <c r="AN79" s="146">
        <f>IF(LEFT(C79,1)="A",Y79,0)</f>
        <v>0</v>
      </c>
      <c r="AO79" s="146">
        <f>IF(LEFT(C79,1)="K",Y79,0)</f>
        <v>0</v>
      </c>
      <c r="AP79" s="146">
        <f>IF(LEFT(C79,1)="M",Y79,0)</f>
        <v>0</v>
      </c>
      <c r="AQ79" s="146"/>
      <c r="AR79" s="146">
        <f>IF(LEFT(M79,1)="A",AF79,0)</f>
        <v>1710</v>
      </c>
      <c r="AS79" s="146">
        <f>IF(LEFT(M79,1)="K",AF79,0)</f>
        <v>0</v>
      </c>
      <c r="AT79" s="146">
        <f>IF(LEFT(M79,1)="M",AF79,0)</f>
        <v>0</v>
      </c>
      <c r="IT79"/>
      <c r="IU79"/>
      <c r="IV79"/>
    </row>
    <row r="80" spans="1:256" s="155" customFormat="1" ht="9" customHeight="1">
      <c r="A80" s="189" t="s">
        <v>241</v>
      </c>
      <c r="B80" s="192"/>
      <c r="C80" s="134" t="s">
        <v>56</v>
      </c>
      <c r="D80" s="134">
        <v>10</v>
      </c>
      <c r="E80" s="150">
        <v>13</v>
      </c>
      <c r="F80" s="135">
        <f>(3*Kr___0+2*Ges)/5</f>
        <v>75</v>
      </c>
      <c r="G80" s="135">
        <f>IF(F80&lt;50,450-6*F80,IF(F80&lt;100,250-2*F80,75-F80/4))</f>
        <v>100</v>
      </c>
      <c r="H80" s="136">
        <f>G80*E80/100</f>
        <v>13</v>
      </c>
      <c r="I80" s="134">
        <f>E80*$Q$15/200</f>
        <v>6.5</v>
      </c>
      <c r="J80" s="131" t="s">
        <v>242</v>
      </c>
      <c r="K80" s="132"/>
      <c r="L80" s="133"/>
      <c r="M80" s="134" t="s">
        <v>223</v>
      </c>
      <c r="N80" s="134">
        <v>30</v>
      </c>
      <c r="O80" s="134">
        <v>110</v>
      </c>
      <c r="P80" s="135">
        <f>(3*Int+2*St___0)/5</f>
        <v>69</v>
      </c>
      <c r="Q80" s="135">
        <f>IF(P80&lt;50,450-6*P80,IF(P80&lt;100,250-2*P80,75-P80/4))</f>
        <v>112</v>
      </c>
      <c r="R80" s="136">
        <f>Q80*O80/100</f>
        <v>123.2</v>
      </c>
      <c r="S80" s="209"/>
      <c r="T80" s="187"/>
      <c r="U80" s="137" t="s">
        <v>241</v>
      </c>
      <c r="V80" s="138"/>
      <c r="W80" s="139"/>
      <c r="X80" s="140">
        <f>IF(W80&gt;0,INDEX(lerntab___0,W80,1),0)</f>
        <v>0</v>
      </c>
      <c r="Y80" s="141">
        <f>IF(W80&gt;Z91,ROUND(X80*H80,0),ROUND(X80*H80+(AL91-X80)*I80,0))</f>
        <v>0</v>
      </c>
      <c r="Z80" s="188"/>
      <c r="AA80" s="131" t="s">
        <v>242</v>
      </c>
      <c r="AB80" s="137"/>
      <c r="AC80" s="138"/>
      <c r="AD80" s="139"/>
      <c r="AE80" s="140">
        <f>IF(AD80&gt;0,INDEX(lerntab___0,AD80,1),0)</f>
        <v>0</v>
      </c>
      <c r="AF80" s="141">
        <f>ROUND(AE80*R80,0)</f>
        <v>0</v>
      </c>
      <c r="AG80" s="142"/>
      <c r="AH80" s="210"/>
      <c r="AI80" s="166"/>
      <c r="AJ80" s="139"/>
      <c r="AK80" s="175"/>
      <c r="AM80" s="140">
        <f>IF(Z80&gt;0,INDEX(lerntab___0,Z80,1),0)</f>
        <v>0</v>
      </c>
      <c r="AN80" s="146">
        <f>IF(LEFT(C80,1)="A",Y80,0)</f>
        <v>0</v>
      </c>
      <c r="AO80" s="146">
        <f>IF(LEFT(C80,1)="K",Y80,0)</f>
        <v>0</v>
      </c>
      <c r="AP80" s="146">
        <f>IF(LEFT(C80,1)="M",Y80,0)</f>
        <v>0</v>
      </c>
      <c r="AQ80" s="146"/>
      <c r="AR80" s="146">
        <f>IF(LEFT(M80,1)="A",AF80,0)</f>
        <v>0</v>
      </c>
      <c r="AS80" s="146">
        <f>IF(LEFT(M80,1)="K",AF80,0)</f>
        <v>0</v>
      </c>
      <c r="AT80" s="146">
        <f>IF(LEFT(M80,1)="M",AF80,0)</f>
        <v>0</v>
      </c>
      <c r="IT80"/>
      <c r="IU80"/>
      <c r="IV80"/>
    </row>
    <row r="81" spans="1:256" s="124" customFormat="1" ht="9" customHeight="1">
      <c r="A81" s="126" t="s">
        <v>243</v>
      </c>
      <c r="B81" s="211"/>
      <c r="C81" s="211"/>
      <c r="D81" s="211"/>
      <c r="E81" s="212"/>
      <c r="F81" s="212"/>
      <c r="G81" s="199"/>
      <c r="H81" s="199"/>
      <c r="I81" s="200"/>
      <c r="J81" s="131" t="s">
        <v>244</v>
      </c>
      <c r="K81" s="132"/>
      <c r="L81" s="133"/>
      <c r="M81" s="134" t="s">
        <v>245</v>
      </c>
      <c r="N81" s="134">
        <v>20</v>
      </c>
      <c r="O81" s="134">
        <v>100</v>
      </c>
      <c r="P81" s="135">
        <f>(2*Ges+2*Kom+Schn___0)/5</f>
        <v>75</v>
      </c>
      <c r="Q81" s="135">
        <f>IF(P81&lt;50,450-6*P81,IF(P81&lt;100,250-2*P81,75-P81/4))</f>
        <v>100</v>
      </c>
      <c r="R81" s="136">
        <f>Q81*O81/100</f>
        <v>100</v>
      </c>
      <c r="S81" s="209"/>
      <c r="T81" s="126" t="s">
        <v>243</v>
      </c>
      <c r="U81" s="127"/>
      <c r="V81" s="127"/>
      <c r="W81" s="181"/>
      <c r="X81" s="182"/>
      <c r="Y81" s="183"/>
      <c r="Z81" s="213"/>
      <c r="AA81" s="131" t="s">
        <v>244</v>
      </c>
      <c r="AB81" s="137"/>
      <c r="AC81" s="138"/>
      <c r="AD81" s="139"/>
      <c r="AE81" s="140">
        <f>IF(AD81&gt;0,INDEX(lerntab___0,AD81,1),0)</f>
        <v>0</v>
      </c>
      <c r="AF81" s="141">
        <f>ROUND(AE81*R81,0)</f>
        <v>0</v>
      </c>
      <c r="AG81" s="142"/>
      <c r="AH81" s="210"/>
      <c r="AI81" s="166"/>
      <c r="AJ81" s="139"/>
      <c r="AK81" s="175"/>
      <c r="AM81" s="140">
        <f>IF(Z81&gt;0,INDEX(lerntab___0,Z81,1),0)</f>
        <v>0</v>
      </c>
      <c r="AN81" s="146">
        <f>IF(LEFT(D81,1)="A",Y81,0)</f>
        <v>0</v>
      </c>
      <c r="AO81" s="146">
        <f>IF(LEFT(D81,1)="K",Y81,0)</f>
        <v>0</v>
      </c>
      <c r="AP81" s="146">
        <f>IF(LEFT(D81,1)="M",Y81,0)</f>
        <v>0</v>
      </c>
      <c r="AQ81" s="214"/>
      <c r="AR81" s="146">
        <f>IF(LEFT(M81,1)="A",AF81,0)</f>
        <v>0</v>
      </c>
      <c r="AS81" s="146">
        <f>IF(LEFT(M81,1)="K",AF81,0)</f>
        <v>0</v>
      </c>
      <c r="AT81" s="146">
        <f>IF(LEFT(M81,1)="M",AF81,0)</f>
        <v>0</v>
      </c>
      <c r="IT81"/>
      <c r="IU81"/>
      <c r="IV81"/>
    </row>
    <row r="82" spans="1:256" s="155" customFormat="1" ht="9" customHeight="1">
      <c r="A82" s="215" t="s">
        <v>246</v>
      </c>
      <c r="B82" s="216"/>
      <c r="C82" s="217"/>
      <c r="D82" s="218" t="s">
        <v>75</v>
      </c>
      <c r="E82" s="219">
        <v>40</v>
      </c>
      <c r="F82" s="219">
        <v>55</v>
      </c>
      <c r="G82" s="220">
        <f>Kom</f>
        <v>75</v>
      </c>
      <c r="H82" s="220">
        <f>IF(G82&lt;50,450-6*G82,IF(G82&lt;100,250-2*G82,75-G82/4))</f>
        <v>100</v>
      </c>
      <c r="I82" s="221">
        <f>H82*F82/100</f>
        <v>55</v>
      </c>
      <c r="J82" s="131" t="s">
        <v>247</v>
      </c>
      <c r="K82" s="132"/>
      <c r="L82" s="133"/>
      <c r="M82" s="134" t="s">
        <v>180</v>
      </c>
      <c r="N82" s="134">
        <v>-15</v>
      </c>
      <c r="O82" s="134">
        <v>120</v>
      </c>
      <c r="P82" s="135">
        <f>(4*Ges+Schn___0)/5</f>
        <v>75</v>
      </c>
      <c r="Q82" s="135">
        <f>IF(P82&lt;50,450-6*P82,IF(P82&lt;100,250-2*P82,75-P82/4))</f>
        <v>100</v>
      </c>
      <c r="R82" s="136">
        <f>Q82*O82/100</f>
        <v>120</v>
      </c>
      <c r="S82" s="209"/>
      <c r="T82" s="222" t="s">
        <v>248</v>
      </c>
      <c r="U82" s="223"/>
      <c r="V82" s="224"/>
      <c r="W82" s="225"/>
      <c r="X82" s="226">
        <f>IF(W82&gt;0,INDEX(lerntab___0,W82,1),0)</f>
        <v>0</v>
      </c>
      <c r="Y82" s="227">
        <f>ROUND(X82*I82,0)</f>
        <v>0</v>
      </c>
      <c r="Z82" s="228"/>
      <c r="AA82" s="215" t="s">
        <v>247</v>
      </c>
      <c r="AB82" s="223"/>
      <c r="AC82" s="224"/>
      <c r="AD82" s="225"/>
      <c r="AE82" s="226">
        <f>IF(AD82&gt;0,INDEX(lerntab___0,AD82,1),0)</f>
        <v>0</v>
      </c>
      <c r="AF82" s="227">
        <f>ROUND(AE82*R82,0)</f>
        <v>0</v>
      </c>
      <c r="AG82" s="142"/>
      <c r="AH82" s="210"/>
      <c r="AI82" s="166"/>
      <c r="AJ82" s="139"/>
      <c r="AK82" s="175"/>
      <c r="AM82" s="140">
        <f>IF(Z82&gt;0,INDEX(lerntab___0,Z82,1),0)</f>
        <v>0</v>
      </c>
      <c r="AN82" s="146">
        <f>IF(LEFT(D82,1)="A",Y82,0)</f>
        <v>0</v>
      </c>
      <c r="AO82" s="146">
        <f>IF(LEFT(D82,1)="K",Y82,0)</f>
        <v>0</v>
      </c>
      <c r="AP82" s="146">
        <f>IF(LEFT(D82,1)="M",Y82,0)</f>
        <v>0</v>
      </c>
      <c r="AQ82" s="146"/>
      <c r="AR82" s="146">
        <f>IF(LEFT(M82,1)="A",AF82,0)</f>
        <v>0</v>
      </c>
      <c r="AS82" s="146">
        <f>IF(LEFT(M82,1)="K",AF82,0)</f>
        <v>0</v>
      </c>
      <c r="AT82" s="146">
        <f>IF(LEFT(M82,1)="M",AF82,0)</f>
        <v>0</v>
      </c>
      <c r="IT82"/>
      <c r="IU82"/>
      <c r="IV82"/>
    </row>
    <row r="83" spans="1:256" s="155" customFormat="1" ht="9" customHeight="1">
      <c r="A83" s="229" t="s">
        <v>249</v>
      </c>
      <c r="B83" s="230"/>
      <c r="C83" s="231"/>
      <c r="D83" s="232" t="s">
        <v>56</v>
      </c>
      <c r="E83" s="232">
        <v>40</v>
      </c>
      <c r="F83" s="232">
        <v>80</v>
      </c>
      <c r="G83" s="233">
        <f>Kom</f>
        <v>75</v>
      </c>
      <c r="H83" s="233">
        <f>IF(G83&lt;50,450-6*G83,IF(G83&lt;100,250-2*G83,75-G83/4))</f>
        <v>100</v>
      </c>
      <c r="I83" s="234">
        <f>H83*F83/100</f>
        <v>80</v>
      </c>
      <c r="J83" s="131" t="s">
        <v>250</v>
      </c>
      <c r="K83" s="132"/>
      <c r="L83" s="133"/>
      <c r="M83" s="134" t="s">
        <v>251</v>
      </c>
      <c r="N83" s="134">
        <v>40</v>
      </c>
      <c r="O83" s="134">
        <v>70</v>
      </c>
      <c r="P83" s="135">
        <f>(Ges+4*Int)/5</f>
        <v>75</v>
      </c>
      <c r="Q83" s="135">
        <f>IF(P83&lt;50,450-6*P83,IF(P83&lt;100,250-2*P83,75-P83/4))</f>
        <v>100</v>
      </c>
      <c r="R83" s="136">
        <f>Q83*O83/100</f>
        <v>70</v>
      </c>
      <c r="S83" s="209"/>
      <c r="T83" s="235" t="s">
        <v>252</v>
      </c>
      <c r="U83" s="236"/>
      <c r="V83" s="237"/>
      <c r="W83" s="238"/>
      <c r="X83" s="239">
        <f>IF(W83&gt;0,INDEX(lerntab___0,W83,1),0)</f>
        <v>0</v>
      </c>
      <c r="Y83" s="240">
        <f>ROUND(X83*I83,0)</f>
        <v>0</v>
      </c>
      <c r="Z83" s="228"/>
      <c r="AA83" s="229" t="s">
        <v>250</v>
      </c>
      <c r="AB83" s="236"/>
      <c r="AC83" s="237"/>
      <c r="AD83" s="238"/>
      <c r="AE83" s="239">
        <f>IF(AD83&gt;0,INDEX(lerntab___0,AD83,1),0)</f>
        <v>0</v>
      </c>
      <c r="AF83" s="240">
        <f>ROUND(AE83*R83,0)</f>
        <v>0</v>
      </c>
      <c r="AG83" s="142"/>
      <c r="AH83" s="210"/>
      <c r="AI83" s="166"/>
      <c r="AJ83" s="139"/>
      <c r="AK83" s="175"/>
      <c r="AM83" s="140">
        <f>IF(Z83&gt;0,INDEX(lerntab___0,Z83,1),0)</f>
        <v>0</v>
      </c>
      <c r="AN83" s="146">
        <f>IF(LEFT(D83,1)="A",Y83,0)</f>
        <v>0</v>
      </c>
      <c r="AO83" s="146">
        <f>IF(LEFT(D83,1)="K",Y83,0)</f>
        <v>0</v>
      </c>
      <c r="AP83" s="146">
        <f>IF(LEFT(D83,1)="M",Y83,0)</f>
        <v>0</v>
      </c>
      <c r="AQ83" s="146"/>
      <c r="AR83" s="146">
        <f>IF(LEFT(M83,1)="A",AF83,0)</f>
        <v>0</v>
      </c>
      <c r="AS83" s="146">
        <f>IF(LEFT(M83,1)="K",AF83,0)</f>
        <v>0</v>
      </c>
      <c r="AT83" s="146">
        <f>IF(LEFT(M83,1)="M",AF83,0)</f>
        <v>0</v>
      </c>
      <c r="IT83"/>
      <c r="IU83"/>
      <c r="IV83"/>
    </row>
    <row r="84" spans="1:256" s="155" customFormat="1" ht="9" customHeight="1">
      <c r="A84" s="229" t="s">
        <v>253</v>
      </c>
      <c r="B84" s="230"/>
      <c r="C84" s="231"/>
      <c r="D84" s="232" t="s">
        <v>56</v>
      </c>
      <c r="E84" s="232">
        <v>40</v>
      </c>
      <c r="F84" s="232">
        <v>40</v>
      </c>
      <c r="G84" s="233">
        <f>Kom</f>
        <v>75</v>
      </c>
      <c r="H84" s="233">
        <f>IF(G84&lt;50,450-6*G84,IF(G84&lt;100,250-2*G84,75-G84/4))</f>
        <v>100</v>
      </c>
      <c r="I84" s="234">
        <f>H84*F84/100</f>
        <v>40</v>
      </c>
      <c r="J84" s="131" t="s">
        <v>254</v>
      </c>
      <c r="K84" s="132"/>
      <c r="L84" s="133"/>
      <c r="M84" s="134" t="s">
        <v>56</v>
      </c>
      <c r="N84" s="134">
        <v>40</v>
      </c>
      <c r="O84" s="134">
        <v>30</v>
      </c>
      <c r="P84" s="135">
        <f>(3*Int+2*Ges)/5</f>
        <v>75</v>
      </c>
      <c r="Q84" s="135">
        <f>IF(P84&lt;50,450-6*P84,IF(P84&lt;100,250-2*P84,75-P84/4))</f>
        <v>100</v>
      </c>
      <c r="R84" s="136">
        <f>Q84*O84/100</f>
        <v>30</v>
      </c>
      <c r="S84" s="209"/>
      <c r="T84" s="235" t="s">
        <v>255</v>
      </c>
      <c r="U84" s="236"/>
      <c r="V84" s="237"/>
      <c r="W84" s="238"/>
      <c r="X84" s="239">
        <f>IF(W84&gt;0,INDEX(lerntab___0,W84,1),0)</f>
        <v>0</v>
      </c>
      <c r="Y84" s="240">
        <f>ROUND(X84*I84,0)</f>
        <v>0</v>
      </c>
      <c r="Z84" s="228"/>
      <c r="AA84" s="229" t="s">
        <v>254</v>
      </c>
      <c r="AB84" s="236"/>
      <c r="AC84" s="237"/>
      <c r="AD84" s="238"/>
      <c r="AE84" s="239">
        <f>IF(AD84&gt;0,INDEX(lerntab___0,AD84,1),0)</f>
        <v>0</v>
      </c>
      <c r="AF84" s="240">
        <f>ROUND(AE84*R84,0)</f>
        <v>0</v>
      </c>
      <c r="AG84" s="142"/>
      <c r="AH84" s="210"/>
      <c r="AI84" s="166"/>
      <c r="AJ84" s="139"/>
      <c r="AK84" s="175"/>
      <c r="AM84" s="140">
        <f>IF(Z84&gt;0,INDEX(lerntab___0,Z84,1),0)</f>
        <v>0</v>
      </c>
      <c r="AN84" s="146">
        <f>IF(LEFT(D84,1)="A",Y84,0)</f>
        <v>0</v>
      </c>
      <c r="AO84" s="146">
        <f>IF(LEFT(D84,1)="K",Y84,0)</f>
        <v>0</v>
      </c>
      <c r="AP84" s="146">
        <f>IF(LEFT(D84,1)="M",Y84,0)</f>
        <v>0</v>
      </c>
      <c r="AQ84" s="146"/>
      <c r="AR84" s="146">
        <f>IF(LEFT(M84,1)="A",AF84,0)</f>
        <v>0</v>
      </c>
      <c r="AS84" s="146">
        <f>IF(LEFT(M84,1)="K",AF84,0)</f>
        <v>0</v>
      </c>
      <c r="AT84" s="146">
        <f>IF(LEFT(M84,1)="M",AF84,0)</f>
        <v>0</v>
      </c>
      <c r="IT84"/>
      <c r="IU84"/>
      <c r="IV84"/>
    </row>
    <row r="85" spans="1:256" s="155" customFormat="1" ht="9" customHeight="1">
      <c r="A85" s="229" t="s">
        <v>256</v>
      </c>
      <c r="B85" s="230"/>
      <c r="C85" s="231"/>
      <c r="D85" s="232" t="s">
        <v>56</v>
      </c>
      <c r="E85" s="232">
        <v>40</v>
      </c>
      <c r="F85" s="232">
        <v>10</v>
      </c>
      <c r="G85" s="233">
        <f>Kom</f>
        <v>75</v>
      </c>
      <c r="H85" s="233">
        <f>IF(G85&lt;50,450-6*G85,IF(G85&lt;100,250-2*G85,75-G85/4))</f>
        <v>100</v>
      </c>
      <c r="I85" s="234">
        <f>H85*F85/100</f>
        <v>10</v>
      </c>
      <c r="J85" s="131" t="s">
        <v>257</v>
      </c>
      <c r="K85" s="132"/>
      <c r="L85" s="133"/>
      <c r="M85" s="134" t="s">
        <v>258</v>
      </c>
      <c r="N85" s="134">
        <v>40</v>
      </c>
      <c r="O85" s="134">
        <v>90</v>
      </c>
      <c r="P85" s="135">
        <f>(Int+4*Sym___0)/5</f>
        <v>50.2</v>
      </c>
      <c r="Q85" s="135">
        <f>IF(P85&lt;50,450-6*P85,IF(P85&lt;100,250-2*P85,75-P85/4))</f>
        <v>149.6</v>
      </c>
      <c r="R85" s="136">
        <f>Q85*O85/100</f>
        <v>134.64</v>
      </c>
      <c r="S85" s="209"/>
      <c r="T85" s="235" t="s">
        <v>259</v>
      </c>
      <c r="U85" s="236"/>
      <c r="V85" s="237"/>
      <c r="W85" s="238"/>
      <c r="X85" s="239">
        <f>IF(W85&gt;0,INDEX(lerntab___0,W85,1),0)</f>
        <v>0</v>
      </c>
      <c r="Y85" s="240">
        <f>ROUND(X85*I85,0)</f>
        <v>0</v>
      </c>
      <c r="Z85" s="228"/>
      <c r="AA85" s="229" t="s">
        <v>257</v>
      </c>
      <c r="AB85" s="236"/>
      <c r="AC85" s="237"/>
      <c r="AD85" s="238">
        <f>R106</f>
        <v>12</v>
      </c>
      <c r="AE85" s="239">
        <f>IF(AD85&gt;0,INDEX(lerntab___0,AD85,1),0)</f>
        <v>14</v>
      </c>
      <c r="AF85" s="240">
        <f>ROUND(AE85*R85,0)</f>
        <v>1885</v>
      </c>
      <c r="AG85" s="142"/>
      <c r="AH85" s="210"/>
      <c r="AI85" s="166"/>
      <c r="AJ85" s="139"/>
      <c r="AK85" s="175"/>
      <c r="AM85" s="140">
        <f>IF(Z85&gt;0,INDEX(lerntab___0,Z85,1),0)</f>
        <v>0</v>
      </c>
      <c r="AN85" s="146">
        <f>IF(LEFT(D85,1)="A",Y85,0)</f>
        <v>0</v>
      </c>
      <c r="AO85" s="146">
        <f>IF(LEFT(D85,1)="K",Y85,0)</f>
        <v>0</v>
      </c>
      <c r="AP85" s="146">
        <f>IF(LEFT(D85,1)="M",Y85,0)</f>
        <v>0</v>
      </c>
      <c r="AQ85" s="146"/>
      <c r="AR85" s="146">
        <f>IF(LEFT(M85,1)="A",AF85,0)</f>
        <v>1885</v>
      </c>
      <c r="AS85" s="146">
        <f>IF(LEFT(M85,1)="K",AF85,0)</f>
        <v>0</v>
      </c>
      <c r="AT85" s="146">
        <f>IF(LEFT(M85,1)="M",AF85,0)</f>
        <v>0</v>
      </c>
      <c r="IT85"/>
      <c r="IU85"/>
      <c r="IV85"/>
    </row>
    <row r="86" spans="1:256" s="155" customFormat="1" ht="9" customHeight="1">
      <c r="A86" s="229" t="s">
        <v>260</v>
      </c>
      <c r="B86" s="230"/>
      <c r="C86" s="231"/>
      <c r="D86" s="232" t="s">
        <v>56</v>
      </c>
      <c r="E86" s="232">
        <v>40</v>
      </c>
      <c r="F86" s="232">
        <v>35</v>
      </c>
      <c r="G86" s="233">
        <f>Kom</f>
        <v>75</v>
      </c>
      <c r="H86" s="233">
        <f>IF(G86&lt;50,450-6*G86,IF(G86&lt;100,250-2*G86,75-G86/4))</f>
        <v>100</v>
      </c>
      <c r="I86" s="234">
        <f>H86*F86/100</f>
        <v>35</v>
      </c>
      <c r="J86" s="215" t="s">
        <v>261</v>
      </c>
      <c r="K86" s="241"/>
      <c r="L86" s="242"/>
      <c r="M86" s="218" t="s">
        <v>58</v>
      </c>
      <c r="N86" s="218">
        <v>40</v>
      </c>
      <c r="O86" s="218">
        <v>90</v>
      </c>
      <c r="P86" s="220">
        <f>(3*Int+2*Kom)/5</f>
        <v>75</v>
      </c>
      <c r="Q86" s="220">
        <f>IF(P86&lt;50,450-6*P86,IF(P86&lt;100,250-2*P86,75-P86/4))</f>
        <v>100</v>
      </c>
      <c r="R86" s="221">
        <f>Q86*O86/100</f>
        <v>90</v>
      </c>
      <c r="S86" s="209"/>
      <c r="T86" s="235" t="s">
        <v>262</v>
      </c>
      <c r="U86" s="236"/>
      <c r="V86" s="237"/>
      <c r="W86" s="238"/>
      <c r="X86" s="239">
        <f>IF(W86&gt;0,INDEX(lerntab___0,W86,1),0)</f>
        <v>0</v>
      </c>
      <c r="Y86" s="240">
        <f>ROUND(X86*I86,0)</f>
        <v>0</v>
      </c>
      <c r="Z86" s="228"/>
      <c r="AA86" s="229" t="s">
        <v>261</v>
      </c>
      <c r="AB86" s="236"/>
      <c r="AC86" s="237"/>
      <c r="AD86" s="238">
        <f>R107</f>
        <v>18</v>
      </c>
      <c r="AE86" s="239">
        <f>IF(AD86&gt;0,INDEX(lerntab___0,AD86,1),0)</f>
        <v>29</v>
      </c>
      <c r="AF86" s="240">
        <f>ROUND(AE86*R86,0)</f>
        <v>2610</v>
      </c>
      <c r="AG86" s="142"/>
      <c r="AH86" s="210"/>
      <c r="AI86" s="166"/>
      <c r="AJ86" s="139"/>
      <c r="AK86" s="175"/>
      <c r="AM86" s="140">
        <f>IF(Z86&gt;0,INDEX(lerntab___0,Z86,1),0)</f>
        <v>0</v>
      </c>
      <c r="AN86" s="146">
        <f>IF(LEFT(D86,1)="A",Y86,0)</f>
        <v>0</v>
      </c>
      <c r="AO86" s="146">
        <f>IF(LEFT(D86,1)="K",Y86,0)</f>
        <v>0</v>
      </c>
      <c r="AP86" s="146">
        <f>IF(LEFT(D86,1)="M",Y86,0)</f>
        <v>0</v>
      </c>
      <c r="AQ86" s="146"/>
      <c r="AR86" s="146">
        <f>IF(LEFT(M86,1)="A",AF86,0)</f>
        <v>2610</v>
      </c>
      <c r="AS86" s="146">
        <f>IF(LEFT(M86,1)="K",AF86,0)</f>
        <v>0</v>
      </c>
      <c r="AT86" s="146">
        <f>IF(LEFT(M86,1)="M",AF86,0)</f>
        <v>0</v>
      </c>
      <c r="IT86"/>
      <c r="IU86"/>
      <c r="IV86"/>
    </row>
    <row r="87" spans="1:256" s="155" customFormat="1" ht="9" customHeight="1">
      <c r="A87" s="243" t="s">
        <v>263</v>
      </c>
      <c r="B87" s="244"/>
      <c r="C87" s="245"/>
      <c r="D87" s="246" t="s">
        <v>56</v>
      </c>
      <c r="E87" s="246">
        <v>40</v>
      </c>
      <c r="F87" s="246">
        <v>40</v>
      </c>
      <c r="G87" s="247">
        <f>Kom</f>
        <v>75</v>
      </c>
      <c r="H87" s="247">
        <f>IF(G87&lt;50,450-6*G87,IF(G87&lt;100,250-2*G87,75-G87/4))</f>
        <v>100</v>
      </c>
      <c r="I87" s="248">
        <f>H87*F87/100</f>
        <v>40</v>
      </c>
      <c r="J87" s="249"/>
      <c r="K87" s="250"/>
      <c r="L87" s="250"/>
      <c r="M87" s="250"/>
      <c r="N87" s="250"/>
      <c r="O87" s="250"/>
      <c r="P87" s="251"/>
      <c r="Q87" s="251"/>
      <c r="R87" s="252"/>
      <c r="S87" s="209"/>
      <c r="T87" s="253" t="s">
        <v>263</v>
      </c>
      <c r="U87" s="254"/>
      <c r="V87" s="255"/>
      <c r="W87" s="256"/>
      <c r="X87" s="257">
        <f>IF(W87&gt;0,INDEX(lerntab___0,W87,1),0)</f>
        <v>0</v>
      </c>
      <c r="Y87" s="258">
        <f>ROUND(X87*I87,0)</f>
        <v>0</v>
      </c>
      <c r="Z87" s="228"/>
      <c r="AA87" s="259"/>
      <c r="AB87" s="260"/>
      <c r="AC87" s="260"/>
      <c r="AD87" s="261"/>
      <c r="AE87" s="257"/>
      <c r="AF87" s="258"/>
      <c r="AG87" s="142"/>
      <c r="AH87" s="210"/>
      <c r="AI87" s="262"/>
      <c r="AJ87" s="263"/>
      <c r="AK87" s="264"/>
      <c r="AM87" s="140">
        <f>IF(Z87&gt;0,INDEX(lerntab___0,Z87,1),0)</f>
        <v>0</v>
      </c>
      <c r="AN87" s="146">
        <f>IF(LEFT(D87,1)="A",Y87,0)</f>
        <v>0</v>
      </c>
      <c r="AO87" s="146">
        <f>IF(LEFT(D87,1)="K",Y87,0)</f>
        <v>0</v>
      </c>
      <c r="AP87" s="146">
        <f>IF(LEFT(D87,1)="M",Y87,0)</f>
        <v>0</v>
      </c>
      <c r="AQ87" s="146"/>
      <c r="AR87" s="146">
        <f>IF(LEFT(M87,1)="A",AF87,0)</f>
        <v>0</v>
      </c>
      <c r="AS87" s="146">
        <f>IF(LEFT(M87,1)="K",AF87,0)</f>
        <v>0</v>
      </c>
      <c r="AT87" s="146">
        <f>IF(LEFT(M87,1)="M",AF87,0)</f>
        <v>0</v>
      </c>
      <c r="IT87"/>
      <c r="IU87"/>
      <c r="IV87"/>
    </row>
    <row r="88" spans="1:256" s="78" customFormat="1" ht="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 s="265"/>
      <c r="T88"/>
      <c r="U88"/>
      <c r="V88"/>
      <c r="W88"/>
      <c r="X88"/>
      <c r="Y88"/>
      <c r="Z88" s="266"/>
      <c r="AA88"/>
      <c r="AB88"/>
      <c r="AC88"/>
      <c r="AD88"/>
      <c r="AE88"/>
      <c r="AF88"/>
      <c r="AG88"/>
      <c r="AH88" s="210"/>
      <c r="AI88" s="267"/>
      <c r="AJ88" s="268"/>
      <c r="AK88" s="268"/>
      <c r="AL88" s="120"/>
      <c r="AM88" s="120"/>
      <c r="AN88" s="146">
        <f>IF(LEFT(D88,1)="A",Y88,0)</f>
        <v>0</v>
      </c>
      <c r="AO88" s="146">
        <f>IF(LEFT(D88,1)="K",Y88,0)</f>
        <v>0</v>
      </c>
      <c r="AP88" s="146">
        <f>IF(LEFT(D88,1)="M",Y88,0)</f>
        <v>0</v>
      </c>
      <c r="AQ88" s="146"/>
      <c r="AR88" s="146">
        <f>IF(LEFT(M88,1)="A",AF88,0)</f>
        <v>0</v>
      </c>
      <c r="AS88" s="146">
        <f>IF(LEFT(M88,1)="K",AF88,0)</f>
        <v>0</v>
      </c>
      <c r="AT88" s="146">
        <f>IF(LEFT(M88,1)="M",AF88,0)</f>
        <v>0</v>
      </c>
      <c r="IT88"/>
      <c r="IU88"/>
      <c r="IV88"/>
    </row>
    <row r="89" spans="1:256" s="145" customFormat="1" ht="9.75" customHeight="1">
      <c r="A89" s="269"/>
      <c r="B89" s="269"/>
      <c r="C89" s="269"/>
      <c r="D89" s="269"/>
      <c r="E89" s="270"/>
      <c r="F89" s="270"/>
      <c r="G89" s="271"/>
      <c r="H89" s="271"/>
      <c r="I89" s="271"/>
      <c r="J89" s="271"/>
      <c r="K89" s="271"/>
      <c r="L89" s="271"/>
      <c r="M89" s="269"/>
      <c r="N89" s="269"/>
      <c r="O89" s="269"/>
      <c r="P89" s="269"/>
      <c r="Q89" s="269"/>
      <c r="R89" s="269"/>
      <c r="S89" s="155"/>
      <c r="T89" s="265"/>
      <c r="U89" s="265"/>
      <c r="V89" s="265"/>
      <c r="W89" s="265"/>
      <c r="X89" s="272"/>
      <c r="Y89" s="266"/>
      <c r="Z89" s="155"/>
      <c r="AA89" s="266"/>
      <c r="AB89" s="266"/>
      <c r="AC89" s="266"/>
      <c r="AD89" s="266"/>
      <c r="AE89" s="266"/>
      <c r="AF89" s="266"/>
      <c r="AG89" s="210"/>
      <c r="AH89" s="267"/>
      <c r="AI89" s="120"/>
      <c r="AJ89" s="268"/>
      <c r="AK89" s="120"/>
      <c r="AL89" s="120"/>
      <c r="AM89" s="120"/>
      <c r="AN89" s="146">
        <f>IF(LEFT(D89,1)="A",Y89,0)</f>
        <v>0</v>
      </c>
      <c r="AO89" s="146">
        <f>IF(LEFT(D89,1)="K",Y89,0)</f>
        <v>0</v>
      </c>
      <c r="AP89" s="146">
        <f>IF(LEFT(D89,1)="M",Y89,0)</f>
        <v>0</v>
      </c>
      <c r="AQ89" s="273"/>
      <c r="AR89" s="146">
        <f>IF(LEFT(M89,1)="A",AF89,0)</f>
        <v>0</v>
      </c>
      <c r="AS89" s="146">
        <f>IF(LEFT(M89,1)="K",AF89,0)</f>
        <v>0</v>
      </c>
      <c r="AT89" s="146">
        <f>IF(LEFT(M89,1)="M",AF89,0)</f>
        <v>0</v>
      </c>
      <c r="IU89"/>
      <c r="IV89"/>
    </row>
    <row r="90" spans="1:256" s="267" customFormat="1" ht="12.75" customHeight="1">
      <c r="A90" s="274" t="s">
        <v>9</v>
      </c>
      <c r="B90" s="275" t="str">
        <f>B4</f>
        <v>Name bitte hier eintragen!</v>
      </c>
      <c r="C90" s="275"/>
      <c r="D90" s="275"/>
      <c r="E90" s="276"/>
      <c r="F90" s="276"/>
      <c r="G90" s="277"/>
      <c r="H90" s="277"/>
      <c r="I90" s="278" t="s">
        <v>264</v>
      </c>
      <c r="J90" s="279"/>
      <c r="K90" s="279"/>
      <c r="L90" s="280"/>
      <c r="M90" s="280"/>
      <c r="N90" s="280"/>
      <c r="O90" s="280"/>
      <c r="P90" s="281"/>
      <c r="Q90" s="282"/>
      <c r="R90" s="283"/>
      <c r="S90" s="209"/>
      <c r="T90" s="78"/>
      <c r="U90" s="78"/>
      <c r="V90" s="78"/>
      <c r="W90" s="78"/>
      <c r="X90" s="78"/>
      <c r="Y90" s="78"/>
      <c r="Z90" s="210"/>
      <c r="AA90" s="78"/>
      <c r="AB90" s="78"/>
      <c r="AC90" s="78"/>
      <c r="AD90" s="78"/>
      <c r="AE90" s="78"/>
      <c r="AF90" s="78"/>
      <c r="AG90" s="78"/>
      <c r="AH90" s="78"/>
      <c r="AI90" s="272"/>
      <c r="AJ90" s="265"/>
      <c r="AK90" s="272"/>
      <c r="AL90" s="272"/>
      <c r="AM90" s="272"/>
      <c r="AN90" s="146">
        <f>IF(LEFT(D90,1)="A",Y90,0)</f>
        <v>0</v>
      </c>
      <c r="AO90" s="146">
        <f>IF(LEFT(D90,1)="K",Y90,0)</f>
        <v>0</v>
      </c>
      <c r="AP90" s="146">
        <f>IF(LEFT(D90,1)="M",Y90,0)</f>
        <v>0</v>
      </c>
      <c r="AQ90" s="146"/>
      <c r="AR90" s="146">
        <f>IF(LEFT(M90,1)="A",AF90,0)</f>
        <v>0</v>
      </c>
      <c r="AS90" s="146">
        <f>IF(LEFT(M90,1)="K",AF90,0)</f>
        <v>0</v>
      </c>
      <c r="AT90" s="146">
        <f>IF(LEFT(M90,1)="M",AF90,0)</f>
        <v>0</v>
      </c>
      <c r="IU90"/>
      <c r="IV90"/>
    </row>
    <row r="91" spans="1:256" s="267" customFormat="1" ht="9.75" customHeight="1">
      <c r="A91" s="108" t="s">
        <v>41</v>
      </c>
      <c r="B91" s="109"/>
      <c r="C91" s="109"/>
      <c r="D91" s="111" t="s">
        <v>48</v>
      </c>
      <c r="E91" s="112" t="s">
        <v>43</v>
      </c>
      <c r="F91" s="112" t="s">
        <v>44</v>
      </c>
      <c r="G91" s="111" t="s">
        <v>45</v>
      </c>
      <c r="H91" s="111" t="s">
        <v>265</v>
      </c>
      <c r="I91" s="113" t="s">
        <v>47</v>
      </c>
      <c r="J91" s="284" t="s">
        <v>266</v>
      </c>
      <c r="K91" s="285"/>
      <c r="L91" s="285"/>
      <c r="M91" s="286" t="s">
        <v>44</v>
      </c>
      <c r="N91" s="284" t="s">
        <v>267</v>
      </c>
      <c r="O91" s="285"/>
      <c r="P91" s="285"/>
      <c r="Q91" s="287"/>
      <c r="R91" s="286">
        <v>400</v>
      </c>
      <c r="S91" s="209"/>
      <c r="T91" s="108" t="s">
        <v>41</v>
      </c>
      <c r="U91" s="109"/>
      <c r="V91" s="109"/>
      <c r="W91" s="111" t="s">
        <v>49</v>
      </c>
      <c r="X91" s="111" t="s">
        <v>50</v>
      </c>
      <c r="Y91" s="118" t="s">
        <v>51</v>
      </c>
      <c r="Z91" s="288"/>
      <c r="AA91" s="108" t="s">
        <v>41</v>
      </c>
      <c r="AB91" s="109"/>
      <c r="AC91" s="109"/>
      <c r="AD91" s="111" t="s">
        <v>48</v>
      </c>
      <c r="AE91" s="111" t="s">
        <v>49</v>
      </c>
      <c r="AF91" s="111" t="s">
        <v>50</v>
      </c>
      <c r="AG91" s="118" t="s">
        <v>51</v>
      </c>
      <c r="AH91" s="155"/>
      <c r="AI91" s="121" t="s">
        <v>268</v>
      </c>
      <c r="AJ91" s="122"/>
      <c r="AK91" s="282"/>
      <c r="AL91" s="145"/>
      <c r="AM91" s="145"/>
      <c r="AN91" s="146">
        <f>IF(LEFT(D91,1)="A",Y91,0)</f>
        <v>0</v>
      </c>
      <c r="AO91" s="146">
        <f>IF(LEFT(D91,1)="K",Y91,0)</f>
        <v>0</v>
      </c>
      <c r="AP91" s="146">
        <f>IF(LEFT(D91,1)="M",Y91,0)</f>
        <v>0</v>
      </c>
      <c r="AQ91" s="289"/>
      <c r="AR91" s="146">
        <f>IF(LEFT(M91,1)="A",AF91,0)</f>
        <v>0</v>
      </c>
      <c r="AS91" s="146">
        <f>IF(LEFT(M91,1)="K",AF91,0)</f>
        <v>0</v>
      </c>
      <c r="AT91" s="146">
        <f>IF(LEFT(M91,1)="M",AF91,0)</f>
        <v>0</v>
      </c>
      <c r="IU91"/>
      <c r="IV91"/>
    </row>
    <row r="92" spans="1:256" s="267" customFormat="1" ht="9.75" customHeight="1">
      <c r="A92" s="290" t="s">
        <v>269</v>
      </c>
      <c r="B92" s="127"/>
      <c r="C92" s="128"/>
      <c r="D92" s="182"/>
      <c r="E92" s="212"/>
      <c r="F92" s="212"/>
      <c r="G92" s="199"/>
      <c r="H92" s="199"/>
      <c r="I92" s="200"/>
      <c r="J92" s="291" t="s">
        <v>270</v>
      </c>
      <c r="K92" s="292"/>
      <c r="L92" s="292"/>
      <c r="M92" s="293">
        <v>500</v>
      </c>
      <c r="N92" s="294" t="s">
        <v>271</v>
      </c>
      <c r="O92" s="295"/>
      <c r="P92" s="295"/>
      <c r="Q92" s="295"/>
      <c r="R92" s="293">
        <v>400</v>
      </c>
      <c r="S92" s="209"/>
      <c r="T92" s="290" t="s">
        <v>269</v>
      </c>
      <c r="U92" s="127"/>
      <c r="V92" s="128"/>
      <c r="W92" s="182"/>
      <c r="X92" s="182"/>
      <c r="Y92" s="183"/>
      <c r="Z92" s="228"/>
      <c r="AA92" s="290" t="s">
        <v>266</v>
      </c>
      <c r="AB92" s="127"/>
      <c r="AC92" s="127"/>
      <c r="AD92" s="182"/>
      <c r="AE92" s="182"/>
      <c r="AF92" s="182"/>
      <c r="AG92" s="183"/>
      <c r="AI92" s="121" t="s">
        <v>41</v>
      </c>
      <c r="AJ92" s="143" t="s">
        <v>49</v>
      </c>
      <c r="AK92" s="144" t="s">
        <v>51</v>
      </c>
      <c r="AL92" s="120"/>
      <c r="AM92" s="120"/>
      <c r="AN92" s="146">
        <f>IF(LEFT(D92,1)="A",Y92,0)</f>
        <v>0</v>
      </c>
      <c r="AO92" s="146">
        <f>IF(LEFT(D92,1)="K",Y92,0)</f>
        <v>0</v>
      </c>
      <c r="AP92" s="146">
        <f>IF(LEFT(D92,1)="M",Y92,0)</f>
        <v>0</v>
      </c>
      <c r="AQ92" s="289"/>
      <c r="AR92" s="146">
        <f>IF(LEFT(M92,1)="A",AF92,0)</f>
        <v>0</v>
      </c>
      <c r="AS92" s="146">
        <f>IF(LEFT(M92,1)="K",AF92,0)</f>
        <v>0</v>
      </c>
      <c r="AT92" s="146">
        <f>IF(LEFT(M92,1)="M",AF92,0)</f>
        <v>0</v>
      </c>
      <c r="IU92"/>
      <c r="IV92"/>
    </row>
    <row r="93" spans="1:256" s="267" customFormat="1" ht="9.75" customHeight="1">
      <c r="A93" s="126" t="s">
        <v>272</v>
      </c>
      <c r="B93" s="211"/>
      <c r="C93" s="182"/>
      <c r="D93" s="182"/>
      <c r="E93" s="212"/>
      <c r="F93" s="212"/>
      <c r="G93" s="199"/>
      <c r="H93" s="199"/>
      <c r="I93" s="200"/>
      <c r="J93" s="296" t="s">
        <v>273</v>
      </c>
      <c r="K93" s="297"/>
      <c r="L93" s="298"/>
      <c r="M93" s="299">
        <v>600</v>
      </c>
      <c r="N93" s="300" t="s">
        <v>274</v>
      </c>
      <c r="O93" s="244"/>
      <c r="P93" s="298"/>
      <c r="Q93" s="298"/>
      <c r="R93" s="299">
        <v>400</v>
      </c>
      <c r="S93" s="209"/>
      <c r="T93" s="126" t="s">
        <v>272</v>
      </c>
      <c r="U93" s="211"/>
      <c r="V93" s="182"/>
      <c r="W93" s="182"/>
      <c r="X93" s="182"/>
      <c r="Y93" s="183"/>
      <c r="Z93" s="228"/>
      <c r="AA93" s="187" t="s">
        <v>275</v>
      </c>
      <c r="AB93" s="137"/>
      <c r="AC93" s="137"/>
      <c r="AD93" s="301"/>
      <c r="AE93" s="182"/>
      <c r="AF93" s="182"/>
      <c r="AG93" s="183"/>
      <c r="AI93" s="193"/>
      <c r="AJ93" s="302"/>
      <c r="AK93" s="303"/>
      <c r="AN93" s="146">
        <f>IF(LEFT(D93,1)="A",Y93,0)</f>
        <v>0</v>
      </c>
      <c r="AO93" s="146">
        <f>IF(LEFT(D93,1)="K",Y93,0)</f>
        <v>0</v>
      </c>
      <c r="AP93" s="146">
        <f>IF(LEFT(D93,1)="M",Y93,0)</f>
        <v>0</v>
      </c>
      <c r="AQ93" s="289"/>
      <c r="AR93" s="146">
        <f>IF(LEFT(M93,1)="A",AF93,0)</f>
        <v>0</v>
      </c>
      <c r="AS93" s="146">
        <f>IF(LEFT(M93,1)="K",AF93,0)</f>
        <v>0</v>
      </c>
      <c r="AT93" s="146">
        <f>IF(LEFT(M93,1)="M",AF93,0)</f>
        <v>0</v>
      </c>
      <c r="IU93"/>
      <c r="IV93"/>
    </row>
    <row r="94" spans="1:256" s="267" customFormat="1" ht="9.75" customHeight="1">
      <c r="A94" s="167" t="s">
        <v>276</v>
      </c>
      <c r="B94" s="168"/>
      <c r="C94" s="304"/>
      <c r="D94" s="170" t="s">
        <v>277</v>
      </c>
      <c r="E94" s="171">
        <v>-10</v>
      </c>
      <c r="F94" s="171">
        <v>95</v>
      </c>
      <c r="G94" s="151">
        <f>(2*Krr___0+Schn___0+2*Ges)/5</f>
        <v>75</v>
      </c>
      <c r="H94" s="135">
        <f>IF(G94&lt;50,450-6*G94,IF(G94&lt;100,250-2*G94,75-G94/4))</f>
        <v>100</v>
      </c>
      <c r="I94" s="136">
        <f>H94*F94/100</f>
        <v>95</v>
      </c>
      <c r="J94" s="305" t="s">
        <v>278</v>
      </c>
      <c r="K94" s="306"/>
      <c r="L94" s="306"/>
      <c r="M94" s="307"/>
      <c r="N94" s="307"/>
      <c r="O94" s="308"/>
      <c r="P94" s="307"/>
      <c r="Q94" s="308"/>
      <c r="R94" s="309"/>
      <c r="S94" s="209"/>
      <c r="T94" s="167" t="s">
        <v>276</v>
      </c>
      <c r="U94" s="137"/>
      <c r="V94" s="301"/>
      <c r="W94" s="139"/>
      <c r="X94" s="140">
        <f>IF(W94&gt;0,INDEX(lerntab___0,W94,1),0)</f>
        <v>0</v>
      </c>
      <c r="Y94" s="141">
        <f>ROUND(X94*I94,0)</f>
        <v>0</v>
      </c>
      <c r="Z94" s="228"/>
      <c r="AA94" s="187" t="s">
        <v>279</v>
      </c>
      <c r="AB94" s="137"/>
      <c r="AC94" s="137"/>
      <c r="AD94" s="301"/>
      <c r="AE94" s="139"/>
      <c r="AF94" s="140">
        <f>IF(AE94&gt;0,INDEX(lerntab___0,AE94,1),0)</f>
        <v>0</v>
      </c>
      <c r="AG94" s="141">
        <f>ROUND(AF94*D167,0)</f>
        <v>0</v>
      </c>
      <c r="AI94" s="166"/>
      <c r="AJ94" s="153"/>
      <c r="AK94" s="156"/>
      <c r="AN94" s="146">
        <f>IF(LEFT(D94,1)="A",Y94,0)</f>
        <v>0</v>
      </c>
      <c r="AO94" s="146">
        <f>IF(LEFT(D94,1)="K",Y94,0)</f>
        <v>0</v>
      </c>
      <c r="AP94" s="146">
        <f>IF(LEFT(D94,1)="M",Y94,0)</f>
        <v>0</v>
      </c>
      <c r="AQ94" s="289"/>
      <c r="AR94" s="146">
        <f>AG94</f>
        <v>0</v>
      </c>
      <c r="AS94" s="146"/>
      <c r="AT94" s="146"/>
      <c r="IU94"/>
      <c r="IV94"/>
    </row>
    <row r="95" spans="1:256" s="267" customFormat="1" ht="9.75" customHeight="1">
      <c r="A95" s="167" t="s">
        <v>280</v>
      </c>
      <c r="B95" s="168"/>
      <c r="C95" s="304"/>
      <c r="D95" s="170" t="s">
        <v>277</v>
      </c>
      <c r="E95" s="171">
        <v>-5</v>
      </c>
      <c r="F95" s="171">
        <v>106</v>
      </c>
      <c r="G95" s="151">
        <f>(2*Schn___0+3*Ges)/5</f>
        <v>75</v>
      </c>
      <c r="H95" s="135">
        <f>IF(G95&lt;50,450-6*G95,IF(G95&lt;100,250-2*G95,75-G95/4))</f>
        <v>100</v>
      </c>
      <c r="I95" s="136">
        <f>H95*F95/100</f>
        <v>106</v>
      </c>
      <c r="J95" s="202" t="s">
        <v>281</v>
      </c>
      <c r="K95" s="132">
        <f>ROUND(20+(Int+2*Schn___0)/10,0)</f>
        <v>43</v>
      </c>
      <c r="L95" s="310" t="s">
        <v>282</v>
      </c>
      <c r="M95" s="311" t="s">
        <v>18</v>
      </c>
      <c r="N95" s="148">
        <f>ROUND(20+(Au+St___0+Int)/10,0)</f>
        <v>40</v>
      </c>
      <c r="O95" s="312" t="s">
        <v>282</v>
      </c>
      <c r="P95" s="313" t="s">
        <v>283</v>
      </c>
      <c r="Q95" s="314">
        <f>ROUND(Schn___0/5-15,0)</f>
        <v>0</v>
      </c>
      <c r="R95" s="315"/>
      <c r="S95" s="209"/>
      <c r="T95" s="167" t="s">
        <v>280</v>
      </c>
      <c r="U95" s="137"/>
      <c r="V95" s="316"/>
      <c r="W95" s="139"/>
      <c r="X95" s="140">
        <f>IF(W95&gt;0,INDEX(lerntab___0,W95,1),0)</f>
        <v>0</v>
      </c>
      <c r="Y95" s="141">
        <f>ROUND(X95*I95,0)</f>
        <v>0</v>
      </c>
      <c r="Z95" s="228"/>
      <c r="AA95" s="187" t="s">
        <v>284</v>
      </c>
      <c r="AB95" s="137"/>
      <c r="AC95" s="137"/>
      <c r="AD95" s="301"/>
      <c r="AE95" s="139"/>
      <c r="AF95" s="140">
        <f>IF(AE95&gt;0,INDEX(lerntab___0,AE95,1),0)</f>
        <v>0</v>
      </c>
      <c r="AG95" s="141">
        <f>ROUND(AF95*D168,0)</f>
        <v>0</v>
      </c>
      <c r="AI95" s="166"/>
      <c r="AJ95" s="153"/>
      <c r="AK95" s="157"/>
      <c r="AN95" s="146">
        <f>IF(LEFT(D95,1)="A",Y95,0)</f>
        <v>0</v>
      </c>
      <c r="AO95" s="146">
        <f>IF(LEFT(D95,1)="K",Y95,0)</f>
        <v>0</v>
      </c>
      <c r="AP95" s="146">
        <f>IF(LEFT(D95,1)="M",Y95,0)</f>
        <v>0</v>
      </c>
      <c r="AQ95" s="289"/>
      <c r="AR95" s="146">
        <f>AG95</f>
        <v>0</v>
      </c>
      <c r="AS95" s="146"/>
      <c r="AT95" s="146"/>
      <c r="IU95"/>
      <c r="IV95"/>
    </row>
    <row r="96" spans="1:256" s="267" customFormat="1" ht="9.75" customHeight="1">
      <c r="A96" s="167" t="s">
        <v>285</v>
      </c>
      <c r="B96" s="168"/>
      <c r="C96" s="304"/>
      <c r="D96" s="170" t="s">
        <v>277</v>
      </c>
      <c r="E96" s="171">
        <v>-10</v>
      </c>
      <c r="F96" s="171">
        <v>55</v>
      </c>
      <c r="G96" s="151">
        <f>(Schn___0+4*Ges)/5</f>
        <v>75</v>
      </c>
      <c r="H96" s="135">
        <f>IF(G96&lt;50,450-6*G96,IF(G96&lt;100,250-2*G96,75-G96/4))</f>
        <v>100</v>
      </c>
      <c r="I96" s="136">
        <f>H96*F96/100</f>
        <v>55</v>
      </c>
      <c r="J96" s="202" t="s">
        <v>286</v>
      </c>
      <c r="K96" s="317"/>
      <c r="L96" s="318">
        <f>ROUND(5+Kons/5,0)</f>
        <v>20</v>
      </c>
      <c r="M96" s="319" t="s">
        <v>287</v>
      </c>
      <c r="N96" s="310"/>
      <c r="O96" s="320">
        <f>ROUND(40+(170-Gr-Fig)*3.3/20+(Kr___0+Ges+Schn___0)/30,0)</f>
        <v>48</v>
      </c>
      <c r="P96" s="313" t="s">
        <v>288</v>
      </c>
      <c r="Q96" s="313"/>
      <c r="R96" s="321">
        <f>ROUND(3+Int/10,0)</f>
        <v>11</v>
      </c>
      <c r="S96" s="209"/>
      <c r="T96" s="167" t="s">
        <v>285</v>
      </c>
      <c r="U96" s="137"/>
      <c r="V96" s="301"/>
      <c r="W96" s="139"/>
      <c r="X96" s="140">
        <f>IF(W96&gt;0,INDEX(lerntab___0,W96,1),0)</f>
        <v>0</v>
      </c>
      <c r="Y96" s="141">
        <f>ROUND(X96*I96,0)</f>
        <v>0</v>
      </c>
      <c r="Z96" s="228"/>
      <c r="AA96" s="187" t="s">
        <v>289</v>
      </c>
      <c r="AB96" s="137"/>
      <c r="AC96" s="137"/>
      <c r="AD96" s="301"/>
      <c r="AE96" s="139"/>
      <c r="AF96" s="140">
        <f>IF(AE96&gt;0,INDEX(lerntab___0,AE96,1),0)</f>
        <v>0</v>
      </c>
      <c r="AG96" s="141">
        <f>ROUND(AF96*D169,0)</f>
        <v>0</v>
      </c>
      <c r="AI96" s="166"/>
      <c r="AJ96" s="139"/>
      <c r="AK96" s="322"/>
      <c r="AN96" s="146">
        <f>IF(LEFT(D96,1)="A",Y96,0)</f>
        <v>0</v>
      </c>
      <c r="AO96" s="146">
        <f>IF(LEFT(D96,1)="K",Y96,0)</f>
        <v>0</v>
      </c>
      <c r="AP96" s="146">
        <f>IF(LEFT(D96,1)="M",Y96,0)</f>
        <v>0</v>
      </c>
      <c r="AQ96" s="289"/>
      <c r="AR96" s="146">
        <f>AG96</f>
        <v>0</v>
      </c>
      <c r="AS96" s="146"/>
      <c r="AT96" s="146"/>
      <c r="IU96"/>
      <c r="IV96"/>
    </row>
    <row r="97" spans="1:256" s="267" customFormat="1" ht="9.75" customHeight="1">
      <c r="A97" s="167" t="s">
        <v>290</v>
      </c>
      <c r="B97" s="168"/>
      <c r="C97" s="304"/>
      <c r="D97" s="170" t="s">
        <v>277</v>
      </c>
      <c r="E97" s="171">
        <v>5</v>
      </c>
      <c r="F97" s="171">
        <v>85</v>
      </c>
      <c r="G97" s="151">
        <f>(3*Krr___0+2*Ges)/5</f>
        <v>75</v>
      </c>
      <c r="H97" s="135">
        <f>IF(G97&lt;50,450-6*G97,IF(G97&lt;100,250-2*G97,75-G97/4))</f>
        <v>100</v>
      </c>
      <c r="I97" s="136">
        <f>H97*F97/100</f>
        <v>85</v>
      </c>
      <c r="J97" s="202" t="s">
        <v>291</v>
      </c>
      <c r="K97" s="132">
        <f>ROUND(34+Schn___0/20,0)</f>
        <v>38</v>
      </c>
      <c r="L97" s="132" t="s">
        <v>292</v>
      </c>
      <c r="M97" s="311" t="s">
        <v>293</v>
      </c>
      <c r="N97" s="148">
        <f>ROUND(16+(Schn___0+Kons)/40,0)</f>
        <v>20</v>
      </c>
      <c r="O97" s="312" t="s">
        <v>294</v>
      </c>
      <c r="P97" s="148" t="s">
        <v>295</v>
      </c>
      <c r="Q97" s="323"/>
      <c r="R97" s="324">
        <f>ROUND(5+Kons/25,0)</f>
        <v>8</v>
      </c>
      <c r="S97" s="209"/>
      <c r="T97" s="167" t="s">
        <v>290</v>
      </c>
      <c r="U97" s="137"/>
      <c r="V97" s="301"/>
      <c r="W97" s="139"/>
      <c r="X97" s="140">
        <f>IF(W97&gt;0,INDEX(lerntab___0,W97,1),0)</f>
        <v>0</v>
      </c>
      <c r="Y97" s="141">
        <f>ROUND(X97*I97,0)</f>
        <v>0</v>
      </c>
      <c r="Z97" s="228"/>
      <c r="AA97" s="187" t="s">
        <v>296</v>
      </c>
      <c r="AB97" s="137"/>
      <c r="AC97" s="137"/>
      <c r="AD97" s="301"/>
      <c r="AE97" s="139"/>
      <c r="AF97" s="140">
        <f>IF(AE97&gt;0,INDEX(lerntab___0,AE97,1),0)</f>
        <v>0</v>
      </c>
      <c r="AG97" s="141">
        <f>ROUND(AF97*D170,0)</f>
        <v>0</v>
      </c>
      <c r="AI97" s="166"/>
      <c r="AJ97" s="139"/>
      <c r="AK97" s="322"/>
      <c r="AN97" s="146">
        <f>IF(LEFT(D97,1)="A",Y97,0)</f>
        <v>0</v>
      </c>
      <c r="AO97" s="146">
        <f>IF(LEFT(D97,1)="K",Y97,0)</f>
        <v>0</v>
      </c>
      <c r="AP97" s="146">
        <f>IF(LEFT(D97,1)="M",Y97,0)</f>
        <v>0</v>
      </c>
      <c r="AQ97" s="289"/>
      <c r="AR97" s="146">
        <f>AG97</f>
        <v>0</v>
      </c>
      <c r="AS97" s="146"/>
      <c r="AT97" s="146"/>
      <c r="IU97"/>
      <c r="IV97"/>
    </row>
    <row r="98" spans="1:256" s="267" customFormat="1" ht="9.75" customHeight="1">
      <c r="A98" s="167" t="s">
        <v>297</v>
      </c>
      <c r="B98" s="168"/>
      <c r="C98" s="304"/>
      <c r="D98" s="170" t="s">
        <v>277</v>
      </c>
      <c r="E98" s="171">
        <v>5</v>
      </c>
      <c r="F98" s="171">
        <v>62</v>
      </c>
      <c r="G98" s="151">
        <f>(4*Krr___0+Ges)/5</f>
        <v>75</v>
      </c>
      <c r="H98" s="135">
        <f>IF(G98&lt;50,450-6*G98,IF(G98&lt;100,250-2*G98,75-G98/4))</f>
        <v>100</v>
      </c>
      <c r="I98" s="136">
        <f>H98*F98/100</f>
        <v>62</v>
      </c>
      <c r="J98" s="325" t="s">
        <v>298</v>
      </c>
      <c r="K98" s="310"/>
      <c r="L98" s="314">
        <f>Kr___0*(0.2+(Ges+Schn___0)/400)+Gew/5</f>
        <v>56.419</v>
      </c>
      <c r="M98" s="319" t="s">
        <v>299</v>
      </c>
      <c r="N98" s="320">
        <f>7.5*LOG(86.7/((Gr/100)^2*(30+Fig)),2)</f>
        <v>2.402569877861188E-15</v>
      </c>
      <c r="O98" s="326" t="s">
        <v>300</v>
      </c>
      <c r="P98" s="327">
        <f>1/SQRT(Kr___0*(0.012+0.04/Gew))</f>
        <v>1.028616540470491</v>
      </c>
      <c r="Q98" s="168" t="s">
        <v>301</v>
      </c>
      <c r="R98" s="328">
        <f>ROUND(Kr___0/8,0)</f>
        <v>9</v>
      </c>
      <c r="S98" s="209"/>
      <c r="T98" s="167" t="s">
        <v>297</v>
      </c>
      <c r="U98" s="137"/>
      <c r="V98" s="301"/>
      <c r="W98" s="139"/>
      <c r="X98" s="140">
        <f>IF(W98&gt;0,INDEX(lerntab___0,W98,1),0)</f>
        <v>0</v>
      </c>
      <c r="Y98" s="141">
        <f>ROUND(X98*I98,0)</f>
        <v>0</v>
      </c>
      <c r="Z98" s="228"/>
      <c r="AA98" s="187" t="s">
        <v>302</v>
      </c>
      <c r="AB98" s="137"/>
      <c r="AC98" s="137"/>
      <c r="AD98" s="301"/>
      <c r="AE98" s="139"/>
      <c r="AF98" s="140">
        <f>IF(AE98&gt;0,INDEX(lerntab___0,AE98,1),0)</f>
        <v>0</v>
      </c>
      <c r="AG98" s="141">
        <f>ROUND(AF98*D171,0)</f>
        <v>0</v>
      </c>
      <c r="AI98" s="166"/>
      <c r="AJ98" s="139"/>
      <c r="AK98" s="322"/>
      <c r="AN98" s="146">
        <f>IF(LEFT(D98,1)="A",Y98,0)</f>
        <v>0</v>
      </c>
      <c r="AO98" s="146">
        <f>IF(LEFT(D98,1)="K",Y98,0)</f>
        <v>0</v>
      </c>
      <c r="AP98" s="146">
        <f>IF(LEFT(D98,1)="M",Y98,0)</f>
        <v>0</v>
      </c>
      <c r="AQ98" s="289"/>
      <c r="AR98" s="146">
        <f>AG98</f>
        <v>0</v>
      </c>
      <c r="AS98" s="146"/>
      <c r="AT98" s="146"/>
      <c r="IU98"/>
      <c r="IV98"/>
    </row>
    <row r="99" spans="1:256" s="267" customFormat="1" ht="9.75" customHeight="1">
      <c r="A99" s="167" t="s">
        <v>303</v>
      </c>
      <c r="B99" s="168"/>
      <c r="C99" s="304"/>
      <c r="D99" s="170" t="s">
        <v>277</v>
      </c>
      <c r="E99" s="171">
        <v>0</v>
      </c>
      <c r="F99" s="171">
        <v>72</v>
      </c>
      <c r="G99" s="151">
        <f>(Krr___0+Schn___0+3*Ges)/5</f>
        <v>75</v>
      </c>
      <c r="H99" s="135">
        <f>IF(G99&lt;50,450-6*G99,IF(G99&lt;100,250-2*G99,75-G99/4))</f>
        <v>100</v>
      </c>
      <c r="I99" s="136">
        <f>H99*F99/100</f>
        <v>72</v>
      </c>
      <c r="J99" s="202" t="s">
        <v>304</v>
      </c>
      <c r="K99" s="329">
        <f>ROUND(33+(Mt___0+Krr___0)/10,0)</f>
        <v>48</v>
      </c>
      <c r="L99" s="330" t="s">
        <v>305</v>
      </c>
      <c r="M99" s="329">
        <f>ROUND(33+(Mt___0+Schnr___0)/10,0)</f>
        <v>48</v>
      </c>
      <c r="N99" s="331" t="s">
        <v>306</v>
      </c>
      <c r="O99" s="148"/>
      <c r="P99" s="323"/>
      <c r="Q99" s="314">
        <f>ROUND(M99*(0.3+M100/60),0)</f>
        <v>53</v>
      </c>
      <c r="R99" s="324">
        <f>ROUND(M99*(0.28+M100/70),0)</f>
        <v>46</v>
      </c>
      <c r="S99" s="209"/>
      <c r="T99" s="167" t="s">
        <v>303</v>
      </c>
      <c r="U99" s="137"/>
      <c r="V99" s="301"/>
      <c r="W99" s="139"/>
      <c r="X99" s="140">
        <f>IF(W99&gt;0,INDEX(lerntab___0,W99,1),0)</f>
        <v>0</v>
      </c>
      <c r="Y99" s="141">
        <f>ROUND(X99*I99,0)</f>
        <v>0</v>
      </c>
      <c r="Z99" s="228"/>
      <c r="AA99" s="187" t="s">
        <v>307</v>
      </c>
      <c r="AB99" s="137"/>
      <c r="AC99" s="137"/>
      <c r="AD99" s="301"/>
      <c r="AE99" s="139"/>
      <c r="AF99" s="140">
        <f>IF(AE99&gt;0,INDEX(lerntab___0,AE99,1),0)</f>
        <v>0</v>
      </c>
      <c r="AG99" s="141">
        <f>ROUND(AF99*I167,0)</f>
        <v>0</v>
      </c>
      <c r="AI99" s="166"/>
      <c r="AJ99" s="139"/>
      <c r="AK99" s="322"/>
      <c r="AN99" s="146">
        <f>IF(LEFT(D99,1)="A",Y99,0)</f>
        <v>0</v>
      </c>
      <c r="AO99" s="146">
        <f>IF(LEFT(D99,1)="K",Y99,0)</f>
        <v>0</v>
      </c>
      <c r="AP99" s="146">
        <f>IF(LEFT(D99,1)="M",Y99,0)</f>
        <v>0</v>
      </c>
      <c r="AQ99" s="289"/>
      <c r="AR99" s="146">
        <f>AG99</f>
        <v>0</v>
      </c>
      <c r="AS99" s="146"/>
      <c r="AT99" s="146"/>
      <c r="IU99"/>
      <c r="IV99"/>
    </row>
    <row r="100" spans="1:256" s="267" customFormat="1" ht="9.75" customHeight="1">
      <c r="A100" s="167" t="s">
        <v>308</v>
      </c>
      <c r="B100" s="168"/>
      <c r="C100" s="304"/>
      <c r="D100" s="170" t="s">
        <v>277</v>
      </c>
      <c r="E100" s="171">
        <v>0</v>
      </c>
      <c r="F100" s="171">
        <v>70</v>
      </c>
      <c r="G100" s="151">
        <f>(2*Krr___0+Schn___0+2*Ges)/5</f>
        <v>75</v>
      </c>
      <c r="H100" s="135">
        <f>IF(G100&lt;50,450-6*G100,IF(G100&lt;100,250-2*G100,75-G100/4))</f>
        <v>100</v>
      </c>
      <c r="I100" s="136">
        <f>H100*F100/100</f>
        <v>70</v>
      </c>
      <c r="J100" s="332" t="s">
        <v>309</v>
      </c>
      <c r="K100" s="333">
        <f>ROUND(33+(Mt___0+Gesr)/10,0)</f>
        <v>48</v>
      </c>
      <c r="L100" s="330" t="s">
        <v>310</v>
      </c>
      <c r="M100" s="329">
        <f>ROUND(33+(Mt___0+Konsr)/10,0)</f>
        <v>48</v>
      </c>
      <c r="N100" s="334" t="s">
        <v>311</v>
      </c>
      <c r="O100" s="335">
        <f>ROUND(33+(Mt___0+Int)/10,0)</f>
        <v>48</v>
      </c>
      <c r="P100" s="336" t="s">
        <v>312</v>
      </c>
      <c r="Q100" s="337">
        <f>ROUND(M99*(0.16+M100/100),0)</f>
        <v>31</v>
      </c>
      <c r="R100" s="338">
        <f>ROUND(M99*(0.19+M100/100),0)</f>
        <v>32</v>
      </c>
      <c r="S100" s="209"/>
      <c r="T100" s="167" t="s">
        <v>308</v>
      </c>
      <c r="U100" s="137"/>
      <c r="V100" s="301"/>
      <c r="W100" s="139"/>
      <c r="X100" s="140">
        <f>IF(W100&gt;0,INDEX(lerntab___0,W100,1),0)</f>
        <v>0</v>
      </c>
      <c r="Y100" s="141">
        <f>ROUND(X100*I100,0)</f>
        <v>0</v>
      </c>
      <c r="Z100" s="228"/>
      <c r="AA100" s="187" t="s">
        <v>313</v>
      </c>
      <c r="AB100" s="137"/>
      <c r="AC100" s="137"/>
      <c r="AD100" s="301"/>
      <c r="AE100" s="139"/>
      <c r="AF100" s="140">
        <f>IF(AE100&gt;0,INDEX(lerntab___0,AE100,1),0)</f>
        <v>0</v>
      </c>
      <c r="AG100" s="141">
        <f>ROUND(AF100*I168,0)</f>
        <v>0</v>
      </c>
      <c r="AI100" s="166"/>
      <c r="AJ100" s="139"/>
      <c r="AK100" s="322"/>
      <c r="AN100" s="146">
        <f>IF(LEFT(D100,1)="A",Y100,0)</f>
        <v>0</v>
      </c>
      <c r="AO100" s="146">
        <f>IF(LEFT(D100,1)="K",Y100,0)</f>
        <v>0</v>
      </c>
      <c r="AP100" s="146">
        <f>IF(LEFT(D100,1)="M",Y100,0)</f>
        <v>0</v>
      </c>
      <c r="AQ100" s="289"/>
      <c r="AR100" s="146">
        <f>AG100</f>
        <v>0</v>
      </c>
      <c r="AS100" s="146"/>
      <c r="AT100" s="146"/>
      <c r="IU100"/>
      <c r="IV100"/>
    </row>
    <row r="101" spans="1:256" s="267" customFormat="1" ht="9.75" customHeight="1">
      <c r="A101" s="167" t="s">
        <v>314</v>
      </c>
      <c r="B101" s="168"/>
      <c r="C101" s="304"/>
      <c r="D101" s="170" t="s">
        <v>277</v>
      </c>
      <c r="E101" s="171">
        <v>0</v>
      </c>
      <c r="F101" s="171">
        <v>33</v>
      </c>
      <c r="G101" s="151">
        <f>(4*Krr___0+Ges)/5</f>
        <v>75</v>
      </c>
      <c r="H101" s="135">
        <f>IF(G101&lt;50,450-6*G101,IF(G101&lt;100,250-2*G101,75-G101/4))</f>
        <v>100</v>
      </c>
      <c r="I101" s="136">
        <f>H101*F101/100</f>
        <v>33</v>
      </c>
      <c r="J101" s="339" t="s">
        <v>315</v>
      </c>
      <c r="K101" s="340"/>
      <c r="L101" s="341"/>
      <c r="M101" s="342"/>
      <c r="N101" s="342"/>
      <c r="O101" s="342"/>
      <c r="P101" s="341"/>
      <c r="Q101" s="342"/>
      <c r="R101" s="343"/>
      <c r="S101" s="209"/>
      <c r="T101" s="167" t="s">
        <v>314</v>
      </c>
      <c r="U101" s="137"/>
      <c r="V101" s="301"/>
      <c r="W101" s="139"/>
      <c r="X101" s="140">
        <f>IF(W101&gt;0,INDEX(lerntab___0,W101,1),0)</f>
        <v>0</v>
      </c>
      <c r="Y101" s="141">
        <f>ROUND(X101*I101,0)</f>
        <v>0</v>
      </c>
      <c r="Z101" s="228"/>
      <c r="AA101" s="187" t="s">
        <v>316</v>
      </c>
      <c r="AB101" s="137"/>
      <c r="AC101" s="137"/>
      <c r="AD101" s="301"/>
      <c r="AE101" s="139"/>
      <c r="AF101" s="140">
        <f>IF(AE101&gt;0,INDEX(lerntab___0,AE101,1),0)</f>
        <v>0</v>
      </c>
      <c r="AG101" s="141">
        <f>ROUND(AF101*I169,0)</f>
        <v>0</v>
      </c>
      <c r="AI101" s="166"/>
      <c r="AJ101" s="139"/>
      <c r="AK101" s="322"/>
      <c r="AN101" s="146">
        <f>IF(LEFT(D101,1)="A",Y101,0)</f>
        <v>0</v>
      </c>
      <c r="AO101" s="146">
        <f>IF(LEFT(D101,1)="K",Y101,0)</f>
        <v>0</v>
      </c>
      <c r="AP101" s="146">
        <f>IF(LEFT(D101,1)="M",Y101,0)</f>
        <v>0</v>
      </c>
      <c r="AQ101" s="289"/>
      <c r="AR101" s="146">
        <f>AG101</f>
        <v>0</v>
      </c>
      <c r="AS101" s="146"/>
      <c r="AT101" s="146"/>
      <c r="IU101"/>
      <c r="IV101"/>
    </row>
    <row r="102" spans="1:256" s="267" customFormat="1" ht="9.75" customHeight="1">
      <c r="A102" s="167" t="s">
        <v>317</v>
      </c>
      <c r="B102" s="168"/>
      <c r="C102" s="304"/>
      <c r="D102" s="170" t="s">
        <v>277</v>
      </c>
      <c r="E102" s="171">
        <v>5</v>
      </c>
      <c r="F102" s="171">
        <v>98</v>
      </c>
      <c r="G102" s="151">
        <f>(2*Krr___0+3*Ges)/5</f>
        <v>75</v>
      </c>
      <c r="H102" s="135">
        <f>IF(G102&lt;50,450-6*G102,IF(G102&lt;100,250-2*G102,75-G102/4))</f>
        <v>100</v>
      </c>
      <c r="I102" s="136">
        <f>H102*F102/100</f>
        <v>98</v>
      </c>
      <c r="J102" s="344" t="s">
        <v>318</v>
      </c>
      <c r="K102" s="345"/>
      <c r="L102" s="345"/>
      <c r="M102" s="346">
        <v>20</v>
      </c>
      <c r="N102" s="347" t="s">
        <v>319</v>
      </c>
      <c r="O102" s="348"/>
      <c r="P102" s="348"/>
      <c r="Q102" s="345"/>
      <c r="R102" s="349">
        <f>ROUND((Int+Ges)/10,0)</f>
        <v>15</v>
      </c>
      <c r="S102" s="209"/>
      <c r="T102" s="167" t="s">
        <v>317</v>
      </c>
      <c r="U102" s="137"/>
      <c r="V102" s="301"/>
      <c r="W102" s="139"/>
      <c r="X102" s="140">
        <f>IF(W102&gt;0,INDEX(lerntab___0,W102,1),0)</f>
        <v>0</v>
      </c>
      <c r="Y102" s="141">
        <f>ROUND(X102*I102,0)</f>
        <v>0</v>
      </c>
      <c r="Z102" s="228"/>
      <c r="AA102" s="187" t="s">
        <v>320</v>
      </c>
      <c r="AB102" s="137"/>
      <c r="AC102" s="137"/>
      <c r="AD102" s="301"/>
      <c r="AE102" s="139"/>
      <c r="AF102" s="140">
        <f>IF(AE102&gt;0,INDEX(lerntab___0,AE102,1),0)</f>
        <v>0</v>
      </c>
      <c r="AG102" s="141">
        <f>ROUND(AF102*I170,0)</f>
        <v>0</v>
      </c>
      <c r="AI102" s="193"/>
      <c r="AJ102" s="139"/>
      <c r="AK102" s="322"/>
      <c r="AN102" s="146">
        <f>IF(LEFT(D102,1)="A",Y102,0)</f>
        <v>0</v>
      </c>
      <c r="AO102" s="146">
        <f>IF(LEFT(D102,1)="K",Y102,0)</f>
        <v>0</v>
      </c>
      <c r="AP102" s="146">
        <f>IF(LEFT(D102,1)="M",Y102,0)</f>
        <v>0</v>
      </c>
      <c r="AQ102" s="289"/>
      <c r="AR102" s="146">
        <f>AG102</f>
        <v>0</v>
      </c>
      <c r="AS102" s="146"/>
      <c r="AT102" s="146"/>
      <c r="IU102"/>
      <c r="IV102"/>
    </row>
    <row r="103" spans="1:256" s="267" customFormat="1" ht="9.75" customHeight="1">
      <c r="A103" s="167" t="s">
        <v>321</v>
      </c>
      <c r="B103" s="168"/>
      <c r="C103" s="304"/>
      <c r="D103" s="170" t="s">
        <v>277</v>
      </c>
      <c r="E103" s="171">
        <v>0</v>
      </c>
      <c r="F103" s="171">
        <v>100</v>
      </c>
      <c r="G103" s="151">
        <f>(Krr___0+2*Schn___0+2*Ges)/5</f>
        <v>75</v>
      </c>
      <c r="H103" s="135">
        <f>IF(G103&lt;50,450-6*G103,IF(G103&lt;100,250-2*G103,75-G103/4))</f>
        <v>100</v>
      </c>
      <c r="I103" s="136">
        <f>H103*F103/100</f>
        <v>100</v>
      </c>
      <c r="J103" s="152" t="s">
        <v>322</v>
      </c>
      <c r="K103" s="348"/>
      <c r="L103" s="348"/>
      <c r="M103" s="350">
        <f>ROUND(20+(Schn___0+Kons)/10,0)</f>
        <v>35</v>
      </c>
      <c r="N103" s="347" t="s">
        <v>323</v>
      </c>
      <c r="O103" s="348"/>
      <c r="P103" s="348"/>
      <c r="Q103" s="348"/>
      <c r="R103" s="349">
        <f>ROUND(20+Log___0/10,0)</f>
        <v>28</v>
      </c>
      <c r="S103" s="209"/>
      <c r="T103" s="167" t="s">
        <v>321</v>
      </c>
      <c r="U103" s="137"/>
      <c r="V103" s="301"/>
      <c r="W103" s="139">
        <f>M107</f>
        <v>25</v>
      </c>
      <c r="X103" s="140">
        <f>IF(W103&gt;0,INDEX(lerntab___0,W103,1),0)</f>
        <v>55</v>
      </c>
      <c r="Y103" s="141">
        <f>ROUND(X103*I103,0)</f>
        <v>5500</v>
      </c>
      <c r="Z103" s="228"/>
      <c r="AA103" s="187" t="s">
        <v>324</v>
      </c>
      <c r="AB103" s="137"/>
      <c r="AC103" s="137"/>
      <c r="AD103" s="301"/>
      <c r="AE103" s="139"/>
      <c r="AF103" s="140">
        <f>IF(AE103&gt;0,INDEX(lerntab___0,AE103,1),0)</f>
        <v>0</v>
      </c>
      <c r="AG103" s="141">
        <f>ROUND(AF103*I171,0)</f>
        <v>0</v>
      </c>
      <c r="AI103" s="166"/>
      <c r="AJ103" s="139"/>
      <c r="AK103" s="322"/>
      <c r="AN103" s="146">
        <f>IF(LEFT(D103,1)="A",Y103,0)</f>
        <v>0</v>
      </c>
      <c r="AO103" s="146">
        <f>IF(LEFT(D103,1)="K",Y103,0)</f>
        <v>5500</v>
      </c>
      <c r="AP103" s="146">
        <f>IF(LEFT(D103,1)="M",Y103,0)</f>
        <v>0</v>
      </c>
      <c r="AQ103" s="289"/>
      <c r="AR103" s="146">
        <f>AG103</f>
        <v>0</v>
      </c>
      <c r="AS103" s="146"/>
      <c r="AT103" s="146"/>
      <c r="IU103"/>
      <c r="IV103"/>
    </row>
    <row r="104" spans="1:256" s="267" customFormat="1" ht="9.75" customHeight="1">
      <c r="A104" s="167" t="s">
        <v>325</v>
      </c>
      <c r="B104" s="168"/>
      <c r="C104" s="304"/>
      <c r="D104" s="170" t="s">
        <v>277</v>
      </c>
      <c r="E104" s="171" t="s">
        <v>97</v>
      </c>
      <c r="F104" s="171">
        <v>140</v>
      </c>
      <c r="G104" s="151">
        <f>(2*Krr___0+2*Ges+Schn___0)/5</f>
        <v>75</v>
      </c>
      <c r="H104" s="135">
        <f>IF(G104&lt;50,450-6*G104,IF(G104&lt;100,250-2*G104,75-G104/4))</f>
        <v>100</v>
      </c>
      <c r="I104" s="136">
        <f>H104*F104/100</f>
        <v>140</v>
      </c>
      <c r="J104" s="152" t="s">
        <v>326</v>
      </c>
      <c r="K104" s="348"/>
      <c r="L104" s="348"/>
      <c r="M104" s="350">
        <f>ROUND(20+Ges/5,0)</f>
        <v>35</v>
      </c>
      <c r="N104" s="347" t="s">
        <v>327</v>
      </c>
      <c r="O104" s="351"/>
      <c r="P104" s="351"/>
      <c r="Q104" s="348"/>
      <c r="R104" s="349">
        <f>ROUND(10+(Int+Log___0)/10,0)</f>
        <v>25</v>
      </c>
      <c r="S104" s="209"/>
      <c r="T104" s="167" t="s">
        <v>325</v>
      </c>
      <c r="U104" s="137"/>
      <c r="V104" s="301"/>
      <c r="W104" s="139"/>
      <c r="X104" s="140">
        <f>IF(W104&gt;0,INDEX(lerntab___0,W104,1),0)</f>
        <v>0</v>
      </c>
      <c r="Y104" s="141">
        <f>ROUND(X104*I104,0)</f>
        <v>0</v>
      </c>
      <c r="Z104" s="228"/>
      <c r="AA104" s="187" t="s">
        <v>328</v>
      </c>
      <c r="AB104" s="137"/>
      <c r="AC104" s="137"/>
      <c r="AD104" s="301"/>
      <c r="AE104" s="139"/>
      <c r="AF104" s="140">
        <f>IF(AE104&gt;0,INDEX(lerntab___0,AE104,1),0)</f>
        <v>0</v>
      </c>
      <c r="AG104" s="141">
        <f>ROUND(AF104*M92,0)</f>
        <v>0</v>
      </c>
      <c r="AI104" s="166"/>
      <c r="AJ104" s="139"/>
      <c r="AK104" s="322"/>
      <c r="AN104" s="146">
        <f>IF(LEFT(D104,1)="A",Y104,0)</f>
        <v>0</v>
      </c>
      <c r="AO104" s="146">
        <f>IF(LEFT(D104,1)="K",Y104,0)</f>
        <v>0</v>
      </c>
      <c r="AP104" s="146">
        <f>IF(LEFT(D104,1)="M",Y104,0)</f>
        <v>0</v>
      </c>
      <c r="AQ104" s="289"/>
      <c r="AR104" s="146">
        <f>AG104</f>
        <v>0</v>
      </c>
      <c r="AS104" s="146"/>
      <c r="AT104" s="146"/>
      <c r="IU104"/>
      <c r="IV104"/>
    </row>
    <row r="105" spans="1:256" s="267" customFormat="1" ht="9.75" customHeight="1">
      <c r="A105" s="167" t="s">
        <v>329</v>
      </c>
      <c r="B105" s="168"/>
      <c r="C105" s="304"/>
      <c r="D105" s="170" t="s">
        <v>277</v>
      </c>
      <c r="E105" s="171" t="s">
        <v>97</v>
      </c>
      <c r="F105" s="171">
        <v>118</v>
      </c>
      <c r="G105" s="151">
        <f>(4*Krr___0+1*Ges)/5</f>
        <v>75</v>
      </c>
      <c r="H105" s="135">
        <f>IF(G105&lt;50,450-6*G105,IF(G105&lt;100,250-2*G105,75-G105/4))</f>
        <v>100</v>
      </c>
      <c r="I105" s="136">
        <f>H105*F105/100</f>
        <v>118</v>
      </c>
      <c r="J105" s="152" t="s">
        <v>330</v>
      </c>
      <c r="K105" s="348"/>
      <c r="L105" s="348"/>
      <c r="M105" s="350">
        <f>ROUND(15+(Kr___0+Ges)/10,0)</f>
        <v>30</v>
      </c>
      <c r="N105" s="347" t="s">
        <v>331</v>
      </c>
      <c r="O105" s="351"/>
      <c r="P105" s="351"/>
      <c r="Q105" s="348"/>
      <c r="R105" s="349">
        <f>ROUND(10+Log___0/20,0)</f>
        <v>14</v>
      </c>
      <c r="S105" s="209"/>
      <c r="T105" s="167" t="s">
        <v>329</v>
      </c>
      <c r="U105" s="137"/>
      <c r="V105" s="301"/>
      <c r="W105" s="139"/>
      <c r="X105" s="140">
        <f>IF(W105&gt;0,INDEX(lerntab___0,W105,1),0)</f>
        <v>0</v>
      </c>
      <c r="Y105" s="141">
        <f>ROUND(X105*I105,0)</f>
        <v>0</v>
      </c>
      <c r="Z105" s="228"/>
      <c r="AA105" s="187" t="s">
        <v>332</v>
      </c>
      <c r="AB105" s="137"/>
      <c r="AC105" s="137"/>
      <c r="AD105" s="301"/>
      <c r="AE105" s="139"/>
      <c r="AF105" s="140">
        <f>IF(AE105&gt;0,INDEX(lerntab___0,AE105,1),0)</f>
        <v>0</v>
      </c>
      <c r="AG105" s="141">
        <f>ROUND(AF105*M93,0)</f>
        <v>0</v>
      </c>
      <c r="AI105" s="166"/>
      <c r="AJ105" s="139"/>
      <c r="AK105" s="322"/>
      <c r="AN105" s="146">
        <f>IF(LEFT(D105,1)="A",Y105,0)</f>
        <v>0</v>
      </c>
      <c r="AO105" s="146">
        <f>IF(LEFT(D105,1)="K",Y105,0)</f>
        <v>0</v>
      </c>
      <c r="AP105" s="146">
        <f>IF(LEFT(D105,1)="M",Y105,0)</f>
        <v>0</v>
      </c>
      <c r="AQ105" s="289"/>
      <c r="AR105" s="146">
        <f>AG105</f>
        <v>0</v>
      </c>
      <c r="AS105" s="146"/>
      <c r="AT105" s="146"/>
      <c r="IU105"/>
      <c r="IV105"/>
    </row>
    <row r="106" spans="1:256" s="267" customFormat="1" ht="9.75" customHeight="1">
      <c r="A106" s="167" t="s">
        <v>333</v>
      </c>
      <c r="B106" s="168"/>
      <c r="C106" s="304"/>
      <c r="D106" s="170" t="s">
        <v>277</v>
      </c>
      <c r="E106" s="171" t="s">
        <v>97</v>
      </c>
      <c r="F106" s="171">
        <v>136</v>
      </c>
      <c r="G106" s="151">
        <f>(3*Krr___0+Schn___0+Ges)/5</f>
        <v>75</v>
      </c>
      <c r="H106" s="135">
        <f>IF(G106&lt;50,450-6*G106,IF(G106&lt;100,250-2*G106,75-G106/4))</f>
        <v>100</v>
      </c>
      <c r="I106" s="136">
        <f>H106*F106/100</f>
        <v>136</v>
      </c>
      <c r="J106" s="347" t="s">
        <v>334</v>
      </c>
      <c r="K106" s="348"/>
      <c r="L106" s="348"/>
      <c r="M106" s="349">
        <f>ROUND(10+Ges/10,0)</f>
        <v>18</v>
      </c>
      <c r="N106" s="347" t="s">
        <v>335</v>
      </c>
      <c r="O106" s="351"/>
      <c r="P106" s="351"/>
      <c r="Q106" s="348"/>
      <c r="R106" s="349">
        <f>ROUND((Int+Sym___0)/10,0)</f>
        <v>12</v>
      </c>
      <c r="S106" s="209"/>
      <c r="T106" s="167" t="s">
        <v>333</v>
      </c>
      <c r="U106" s="137"/>
      <c r="V106" s="301"/>
      <c r="W106" s="139"/>
      <c r="X106" s="140">
        <f>IF(W106&gt;0,INDEX(lerntab___0,W106,1),0)</f>
        <v>0</v>
      </c>
      <c r="Y106" s="141">
        <f>ROUND(X106*I106,0)</f>
        <v>0</v>
      </c>
      <c r="Z106" s="228"/>
      <c r="AA106" s="187" t="s">
        <v>336</v>
      </c>
      <c r="AB106" s="137"/>
      <c r="AC106" s="137"/>
      <c r="AD106" s="301"/>
      <c r="AE106" s="139"/>
      <c r="AF106" s="140">
        <f>IF(AE106&gt;0,INDEX(lerntab___0,AE106,1),0)</f>
        <v>0</v>
      </c>
      <c r="AG106" s="141">
        <f>ROUND(AF106*R91,0)</f>
        <v>0</v>
      </c>
      <c r="AI106" s="166"/>
      <c r="AJ106" s="139"/>
      <c r="AK106" s="322"/>
      <c r="AN106" s="146">
        <f>IF(LEFT(D106,1)="A",Y106,0)</f>
        <v>0</v>
      </c>
      <c r="AO106" s="146">
        <f>IF(LEFT(D106,1)="K",Y106,0)</f>
        <v>0</v>
      </c>
      <c r="AP106" s="146">
        <f>IF(LEFT(D106,1)="M",Y106,0)</f>
        <v>0</v>
      </c>
      <c r="AQ106" s="289"/>
      <c r="AR106" s="146">
        <f>AG106</f>
        <v>0</v>
      </c>
      <c r="AS106" s="146"/>
      <c r="AT106" s="146"/>
      <c r="IU106"/>
      <c r="IV106"/>
    </row>
    <row r="107" spans="1:256" s="267" customFormat="1" ht="9.75" customHeight="1">
      <c r="A107" s="167" t="s">
        <v>337</v>
      </c>
      <c r="B107" s="168"/>
      <c r="C107" s="304"/>
      <c r="D107" s="170" t="s">
        <v>277</v>
      </c>
      <c r="E107" s="171">
        <v>-5</v>
      </c>
      <c r="F107" s="171">
        <v>55</v>
      </c>
      <c r="G107" s="151">
        <f>(2*Krr___0+3*Ges)/5</f>
        <v>75</v>
      </c>
      <c r="H107" s="135">
        <f>IF(G107&lt;50,450-6*G107,IF(G107&lt;100,250-2*G107,75-G107/4))</f>
        <v>100</v>
      </c>
      <c r="I107" s="136">
        <f>H107*F107/100</f>
        <v>55</v>
      </c>
      <c r="J107" s="347" t="s">
        <v>338</v>
      </c>
      <c r="K107" s="348"/>
      <c r="L107" s="348"/>
      <c r="M107" s="349">
        <f>ROUND(((Ges+Kr___0)/5)-5,0)</f>
        <v>25</v>
      </c>
      <c r="N107" s="347" t="s">
        <v>339</v>
      </c>
      <c r="O107" s="351"/>
      <c r="P107" s="351"/>
      <c r="Q107" s="348"/>
      <c r="R107" s="349">
        <f>ROUND(10+Log___0/10,0)</f>
        <v>18</v>
      </c>
      <c r="S107" s="209"/>
      <c r="T107" s="167" t="s">
        <v>337</v>
      </c>
      <c r="U107" s="137"/>
      <c r="V107" s="301"/>
      <c r="W107" s="139"/>
      <c r="X107" s="140">
        <f>IF(W107&gt;0,INDEX(lerntab___0,W107,1),0)</f>
        <v>0</v>
      </c>
      <c r="Y107" s="141">
        <f>ROUND(X107*I107,0)</f>
        <v>0</v>
      </c>
      <c r="Z107" s="228"/>
      <c r="AA107" s="187" t="s">
        <v>340</v>
      </c>
      <c r="AB107" s="137"/>
      <c r="AC107" s="137"/>
      <c r="AD107" s="301"/>
      <c r="AE107" s="139"/>
      <c r="AF107" s="140">
        <f>IF(AE107&gt;0,INDEX(lerntab___0,AE107,1),0)</f>
        <v>0</v>
      </c>
      <c r="AG107" s="141">
        <f>ROUND(AF107*R92,0)</f>
        <v>0</v>
      </c>
      <c r="AI107" s="166"/>
      <c r="AJ107" s="139"/>
      <c r="AK107" s="322"/>
      <c r="AN107" s="146">
        <f>IF(LEFT(D107,1)="A",Y107,0)</f>
        <v>0</v>
      </c>
      <c r="AO107" s="146">
        <f>IF(LEFT(D107,1)="K",Y107,0)</f>
        <v>0</v>
      </c>
      <c r="AP107" s="146">
        <f>IF(LEFT(D107,1)="M",Y107,0)</f>
        <v>0</v>
      </c>
      <c r="AQ107" s="289"/>
      <c r="AR107" s="146">
        <f>AG107</f>
        <v>0</v>
      </c>
      <c r="AS107" s="146"/>
      <c r="AT107" s="146"/>
      <c r="IU107"/>
      <c r="IV107"/>
    </row>
    <row r="108" spans="1:256" s="267" customFormat="1" ht="9.75" customHeight="1">
      <c r="A108" s="167" t="s">
        <v>341</v>
      </c>
      <c r="B108" s="168"/>
      <c r="C108" s="304"/>
      <c r="D108" s="170" t="s">
        <v>277</v>
      </c>
      <c r="E108" s="171" t="s">
        <v>97</v>
      </c>
      <c r="F108" s="171">
        <v>105</v>
      </c>
      <c r="G108" s="151">
        <f>(2*Krr___0+3*Ges)/5</f>
        <v>75</v>
      </c>
      <c r="H108" s="135">
        <f>IF(G108&lt;50,450-6*G108,IF(G108&lt;100,250-2*G108,75-G108/4))</f>
        <v>100</v>
      </c>
      <c r="I108" s="136">
        <f>H108*F108/100</f>
        <v>105</v>
      </c>
      <c r="J108" s="152" t="s">
        <v>60</v>
      </c>
      <c r="K108" s="352"/>
      <c r="L108" s="348"/>
      <c r="M108" s="350">
        <f>ROUND(40+Stand___0/10,0)</f>
        <v>44</v>
      </c>
      <c r="N108" s="152" t="s">
        <v>64</v>
      </c>
      <c r="O108" s="352"/>
      <c r="P108" s="348"/>
      <c r="Q108" s="348"/>
      <c r="R108" s="350">
        <f>ROUND(20+Log___0/10,0)</f>
        <v>28</v>
      </c>
      <c r="S108" s="209"/>
      <c r="T108" s="167" t="s">
        <v>341</v>
      </c>
      <c r="U108" s="137"/>
      <c r="V108" s="301"/>
      <c r="W108" s="139"/>
      <c r="X108" s="140">
        <f>IF(W108&gt;0,INDEX(lerntab___0,W108,1),0)</f>
        <v>0</v>
      </c>
      <c r="Y108" s="141">
        <f>ROUND(X108*I108,0)</f>
        <v>0</v>
      </c>
      <c r="Z108" s="228"/>
      <c r="AA108" s="353" t="s">
        <v>342</v>
      </c>
      <c r="AB108" s="354"/>
      <c r="AC108" s="354"/>
      <c r="AD108" s="355"/>
      <c r="AE108" s="263"/>
      <c r="AF108" s="356">
        <f>IF(AE108&gt;0,INDEX(lerntab___0,AE108,1),0)</f>
        <v>0</v>
      </c>
      <c r="AG108" s="357">
        <f>ROUND(AF108*R93,0)</f>
        <v>0</v>
      </c>
      <c r="AI108" s="166"/>
      <c r="AJ108" s="139"/>
      <c r="AK108" s="322"/>
      <c r="AN108" s="146">
        <f>IF(LEFT(D108,1)="A",Y108,0)</f>
        <v>0</v>
      </c>
      <c r="AO108" s="146">
        <f>IF(LEFT(D108,1)="K",Y108,0)</f>
        <v>0</v>
      </c>
      <c r="AP108" s="146">
        <f>IF(LEFT(D108,1)="M",Y108,0)</f>
        <v>0</v>
      </c>
      <c r="AQ108" s="289"/>
      <c r="AR108" s="146">
        <f>AG108</f>
        <v>0</v>
      </c>
      <c r="AS108" s="146"/>
      <c r="AT108" s="146"/>
      <c r="IU108"/>
      <c r="IV108"/>
    </row>
    <row r="109" spans="1:256" s="267" customFormat="1" ht="9.75" customHeight="1">
      <c r="A109" s="167" t="s">
        <v>343</v>
      </c>
      <c r="B109" s="168"/>
      <c r="C109" s="304"/>
      <c r="D109" s="170" t="s">
        <v>277</v>
      </c>
      <c r="E109" s="171">
        <v>5</v>
      </c>
      <c r="F109" s="171">
        <v>53</v>
      </c>
      <c r="G109" s="151">
        <f>(3*Krr___0+2*Ges)/5</f>
        <v>75</v>
      </c>
      <c r="H109" s="135">
        <f>IF(G109&lt;50,450-6*G109,IF(G109&lt;100,250-2*G109,75-G109/4))</f>
        <v>100</v>
      </c>
      <c r="I109" s="136">
        <f>H109*F109/100</f>
        <v>53</v>
      </c>
      <c r="J109" s="152" t="s">
        <v>69</v>
      </c>
      <c r="K109" s="352"/>
      <c r="L109" s="348"/>
      <c r="M109" s="350">
        <f>ROUND(Stand___0/2,0)</f>
        <v>20</v>
      </c>
      <c r="N109" s="152" t="s">
        <v>73</v>
      </c>
      <c r="O109" s="348"/>
      <c r="P109" s="348"/>
      <c r="Q109" s="348"/>
      <c r="R109" s="350">
        <f>ROUND(Log___0/4,0)</f>
        <v>19</v>
      </c>
      <c r="S109" s="209"/>
      <c r="T109" s="167" t="s">
        <v>343</v>
      </c>
      <c r="U109" s="137"/>
      <c r="V109" s="301"/>
      <c r="W109" s="139"/>
      <c r="X109" s="140">
        <f>IF(W109&gt;0,INDEX(lerntab___0,W109,1),0)</f>
        <v>0</v>
      </c>
      <c r="Y109" s="141">
        <f>ROUND(X109*I109,0)</f>
        <v>0</v>
      </c>
      <c r="Z109" s="228"/>
      <c r="AA109" s="108" t="s">
        <v>41</v>
      </c>
      <c r="AB109" s="109"/>
      <c r="AC109" s="109"/>
      <c r="AD109" s="111" t="s">
        <v>49</v>
      </c>
      <c r="AE109" s="111" t="s">
        <v>50</v>
      </c>
      <c r="AF109" s="118" t="s">
        <v>51</v>
      </c>
      <c r="AG109" s="210"/>
      <c r="AI109" s="166"/>
      <c r="AJ109" s="139"/>
      <c r="AK109" s="322"/>
      <c r="AN109" s="146">
        <f>IF(LEFT(D109,1)="A",Y109,0)</f>
        <v>0</v>
      </c>
      <c r="AO109" s="146">
        <f>IF(LEFT(D109,1)="K",Y109,0)</f>
        <v>0</v>
      </c>
      <c r="AP109" s="146">
        <f>IF(LEFT(D109,1)="M",Y109,0)</f>
        <v>0</v>
      </c>
      <c r="AQ109" s="289"/>
      <c r="AR109" s="146"/>
      <c r="AS109" s="146"/>
      <c r="AT109" s="146"/>
      <c r="IU109"/>
      <c r="IV109"/>
    </row>
    <row r="110" spans="1:256" s="267" customFormat="1" ht="9.75" customHeight="1">
      <c r="A110" s="167" t="s">
        <v>344</v>
      </c>
      <c r="B110" s="168"/>
      <c r="C110" s="304"/>
      <c r="D110" s="170" t="s">
        <v>277</v>
      </c>
      <c r="E110" s="171" t="s">
        <v>97</v>
      </c>
      <c r="F110" s="171">
        <v>76</v>
      </c>
      <c r="G110" s="151">
        <f>(3*Krr___0+2*Ges)/5</f>
        <v>75</v>
      </c>
      <c r="H110" s="135">
        <f>IF(G110&lt;50,450-6*G110,IF(G110&lt;100,250-2*G110,75-G110/4))</f>
        <v>100</v>
      </c>
      <c r="I110" s="136">
        <f>H110*F110/100</f>
        <v>76</v>
      </c>
      <c r="J110" s="152" t="s">
        <v>77</v>
      </c>
      <c r="K110" s="352"/>
      <c r="L110" s="348"/>
      <c r="M110" s="350">
        <f>ROUND(25+Log___0/10,0)</f>
        <v>33</v>
      </c>
      <c r="N110" s="152" t="s">
        <v>80</v>
      </c>
      <c r="O110" s="352"/>
      <c r="P110" s="348"/>
      <c r="Q110" s="348"/>
      <c r="R110" s="350">
        <v>15</v>
      </c>
      <c r="S110" s="209"/>
      <c r="T110" s="167" t="s">
        <v>344</v>
      </c>
      <c r="U110" s="137"/>
      <c r="V110" s="301"/>
      <c r="W110" s="139"/>
      <c r="X110" s="140">
        <f>IF(W110&gt;0,INDEX(lerntab___0,W110,1),0)</f>
        <v>0</v>
      </c>
      <c r="Y110" s="141">
        <f>ROUND(X110*I110,0)</f>
        <v>0</v>
      </c>
      <c r="Z110" s="228"/>
      <c r="AA110" s="126" t="s">
        <v>345</v>
      </c>
      <c r="AB110" s="211"/>
      <c r="AC110" s="182"/>
      <c r="AD110" s="182"/>
      <c r="AE110" s="182"/>
      <c r="AF110" s="183"/>
      <c r="AG110" s="210"/>
      <c r="AI110" s="166"/>
      <c r="AJ110" s="139"/>
      <c r="AK110" s="322"/>
      <c r="AN110" s="146">
        <f>IF(LEFT(D110,1)="A",Y110,0)</f>
        <v>0</v>
      </c>
      <c r="AO110" s="146">
        <f>IF(LEFT(D110,1)="K",Y110,0)</f>
        <v>0</v>
      </c>
      <c r="AP110" s="146">
        <f>IF(LEFT(D110,1)="M",Y110,0)</f>
        <v>0</v>
      </c>
      <c r="AQ110" s="289"/>
      <c r="AR110" s="146"/>
      <c r="AS110" s="146"/>
      <c r="AT110" s="146"/>
      <c r="IU110"/>
      <c r="IV110"/>
    </row>
    <row r="111" spans="1:256" s="267" customFormat="1" ht="9.75" customHeight="1">
      <c r="A111" s="167" t="s">
        <v>346</v>
      </c>
      <c r="B111" s="168"/>
      <c r="C111" s="304"/>
      <c r="D111" s="170" t="s">
        <v>277</v>
      </c>
      <c r="E111" s="171" t="s">
        <v>97</v>
      </c>
      <c r="F111" s="171">
        <v>105</v>
      </c>
      <c r="G111" s="151">
        <f>(Krr___0+1*Schn___0+3*Ges)/5</f>
        <v>75</v>
      </c>
      <c r="H111" s="135">
        <f>IF(G111&lt;50,450-6*G111,IF(G111&lt;100,250-2*G111,75-G111/4))</f>
        <v>100</v>
      </c>
      <c r="I111" s="136">
        <f>H111*F111/100</f>
        <v>105</v>
      </c>
      <c r="J111" s="358"/>
      <c r="K111" s="359" t="s">
        <v>347</v>
      </c>
      <c r="L111" s="360">
        <f>ROUND(St___0/10,0)</f>
        <v>6</v>
      </c>
      <c r="M111" s="361">
        <f>L111</f>
        <v>6</v>
      </c>
      <c r="N111" s="362"/>
      <c r="O111" s="363"/>
      <c r="P111" s="363"/>
      <c r="Q111" s="363"/>
      <c r="R111" s="364"/>
      <c r="S111" s="209"/>
      <c r="T111" s="167" t="s">
        <v>346</v>
      </c>
      <c r="U111" s="137"/>
      <c r="V111" s="301"/>
      <c r="W111" s="139"/>
      <c r="X111" s="140">
        <f>IF(W111&gt;0,INDEX(lerntab___0,W111,1),0)</f>
        <v>0</v>
      </c>
      <c r="Y111" s="141">
        <f>ROUND(X111*I111,0)</f>
        <v>0</v>
      </c>
      <c r="Z111" s="228"/>
      <c r="AA111" s="167" t="s">
        <v>325</v>
      </c>
      <c r="AB111" s="137"/>
      <c r="AC111" s="301"/>
      <c r="AD111" s="139"/>
      <c r="AE111" s="140">
        <f>IF(AD111&gt;0,INDEX(lerntab___0,AD111,1),0)</f>
        <v>0</v>
      </c>
      <c r="AF111" s="141">
        <f>ROUND(AE111*1.5*I104,0)</f>
        <v>0</v>
      </c>
      <c r="AG111" s="210"/>
      <c r="AI111" s="166"/>
      <c r="AJ111" s="139"/>
      <c r="AK111" s="322"/>
      <c r="AN111" s="146">
        <f>IF(LEFT(D111,1)="A",Y111,0)</f>
        <v>0</v>
      </c>
      <c r="AO111" s="146">
        <f>IF(LEFT(D111,1)="K",Y111,0)</f>
        <v>0</v>
      </c>
      <c r="AP111" s="146">
        <f>IF(LEFT(D111,1)="M",Y111,0)</f>
        <v>0</v>
      </c>
      <c r="AQ111" s="289"/>
      <c r="AR111" s="146"/>
      <c r="AS111" s="146">
        <f>AF111</f>
        <v>0</v>
      </c>
      <c r="AT111" s="146"/>
      <c r="IU111"/>
      <c r="IV111"/>
    </row>
    <row r="112" spans="1:256" s="267" customFormat="1" ht="9.75" customHeight="1">
      <c r="A112" s="167" t="s">
        <v>348</v>
      </c>
      <c r="B112" s="168"/>
      <c r="C112" s="304"/>
      <c r="D112" s="170" t="s">
        <v>277</v>
      </c>
      <c r="E112" s="171">
        <v>20</v>
      </c>
      <c r="F112" s="171">
        <v>65</v>
      </c>
      <c r="G112" s="151">
        <f>(3*Krr___0+2*Ges)/5</f>
        <v>75</v>
      </c>
      <c r="H112" s="135">
        <f>IF(G112&lt;50,450-6*G112,IF(G112&lt;100,250-2*G112,75-G112/4))</f>
        <v>100</v>
      </c>
      <c r="I112" s="136">
        <f>H112*F112/100</f>
        <v>65</v>
      </c>
      <c r="J112" s="365" t="s">
        <v>349</v>
      </c>
      <c r="K112" s="366"/>
      <c r="L112" s="366" t="s">
        <v>350</v>
      </c>
      <c r="M112" s="367"/>
      <c r="N112" s="368">
        <f>ROUND(25+(Int+Ges+Schn___0)/10,0)</f>
        <v>48</v>
      </c>
      <c r="O112" s="369" t="s">
        <v>351</v>
      </c>
      <c r="P112" s="370"/>
      <c r="Q112" s="371">
        <f>ROUND(70+(Int+2*Schn___0)/10,0)</f>
        <v>93</v>
      </c>
      <c r="R112" s="372" t="s">
        <v>352</v>
      </c>
      <c r="S112" s="209"/>
      <c r="T112" s="167" t="s">
        <v>348</v>
      </c>
      <c r="U112" s="137"/>
      <c r="V112" s="301"/>
      <c r="W112" s="139"/>
      <c r="X112" s="140">
        <f>IF(W112&gt;0,INDEX(lerntab___0,W112,1),0)</f>
        <v>0</v>
      </c>
      <c r="Y112" s="141">
        <f>ROUND(X112*I112,0)</f>
        <v>0</v>
      </c>
      <c r="Z112" s="228"/>
      <c r="AA112" s="167" t="s">
        <v>329</v>
      </c>
      <c r="AB112" s="137"/>
      <c r="AC112" s="316"/>
      <c r="AD112" s="139"/>
      <c r="AE112" s="140">
        <f>IF(AD112&gt;0,INDEX(lerntab___0,AD112,1),0)</f>
        <v>0</v>
      </c>
      <c r="AF112" s="141">
        <f>ROUND(AE112*4.5*I105,0)</f>
        <v>0</v>
      </c>
      <c r="AG112" s="210"/>
      <c r="AI112" s="166"/>
      <c r="AJ112" s="139"/>
      <c r="AK112" s="322"/>
      <c r="AN112" s="146">
        <f>IF(LEFT(D112,1)="A",Y112,0)</f>
        <v>0</v>
      </c>
      <c r="AO112" s="146">
        <f>IF(LEFT(D112,1)="K",Y112,0)</f>
        <v>0</v>
      </c>
      <c r="AP112" s="146">
        <f>IF(LEFT(D112,1)="M",Y112,0)</f>
        <v>0</v>
      </c>
      <c r="AQ112" s="289"/>
      <c r="AR112" s="146"/>
      <c r="AS112" s="146">
        <f>AF112</f>
        <v>0</v>
      </c>
      <c r="AT112" s="146"/>
      <c r="IU112"/>
      <c r="IV112"/>
    </row>
    <row r="113" spans="1:256" s="267" customFormat="1" ht="9.75" customHeight="1">
      <c r="A113" s="167" t="s">
        <v>353</v>
      </c>
      <c r="B113" s="168"/>
      <c r="C113" s="304"/>
      <c r="D113" s="170" t="s">
        <v>277</v>
      </c>
      <c r="E113" s="171">
        <v>-15</v>
      </c>
      <c r="F113" s="171">
        <v>150</v>
      </c>
      <c r="G113" s="151">
        <f>(2*Schn___0+3*Ges)/5</f>
        <v>75</v>
      </c>
      <c r="H113" s="135">
        <f>IF(G113&lt;50,450-6*G113,IF(G113&lt;100,250-2*G113,75-G113/4))</f>
        <v>100</v>
      </c>
      <c r="I113" s="136">
        <f>H113*F113/100</f>
        <v>150</v>
      </c>
      <c r="J113" s="373" t="s">
        <v>354</v>
      </c>
      <c r="K113" s="374"/>
      <c r="L113" s="374" t="s">
        <v>355</v>
      </c>
      <c r="M113" s="375"/>
      <c r="N113" s="376">
        <f>ROUND(13+Int/10,0)</f>
        <v>21</v>
      </c>
      <c r="O113" s="377" t="s">
        <v>356</v>
      </c>
      <c r="P113" s="378"/>
      <c r="Q113" s="378"/>
      <c r="R113" s="379">
        <f>ROUND(25+(Int+Log___0)/10,0)</f>
        <v>40</v>
      </c>
      <c r="S113" s="209"/>
      <c r="T113" s="167" t="s">
        <v>353</v>
      </c>
      <c r="U113" s="137"/>
      <c r="V113" s="301"/>
      <c r="W113" s="139"/>
      <c r="X113" s="140">
        <f>IF(W113&gt;0,INDEX(lerntab___0,W113,1),0)</f>
        <v>0</v>
      </c>
      <c r="Y113" s="141">
        <f>ROUND(X113*I113,0)</f>
        <v>0</v>
      </c>
      <c r="Z113" s="228"/>
      <c r="AA113" s="167" t="s">
        <v>333</v>
      </c>
      <c r="AB113" s="137"/>
      <c r="AC113" s="316"/>
      <c r="AD113" s="139"/>
      <c r="AE113" s="140">
        <f>IF(AD113&gt;0,INDEX(lerntab___0,AD113,1),0)</f>
        <v>0</v>
      </c>
      <c r="AF113" s="141">
        <f>ROUND(AE113*1.5*I106,0)</f>
        <v>0</v>
      </c>
      <c r="AG113" s="210"/>
      <c r="AI113" s="166"/>
      <c r="AJ113" s="139"/>
      <c r="AK113" s="322"/>
      <c r="AN113" s="146">
        <f>IF(LEFT(D113,1)="A",Y113,0)</f>
        <v>0</v>
      </c>
      <c r="AO113" s="146">
        <f>IF(LEFT(D113,1)="K",Y113,0)</f>
        <v>0</v>
      </c>
      <c r="AP113" s="146">
        <f>IF(LEFT(D113,1)="M",Y113,0)</f>
        <v>0</v>
      </c>
      <c r="AQ113" s="289"/>
      <c r="AR113" s="146"/>
      <c r="AS113" s="146">
        <f>AF113</f>
        <v>0</v>
      </c>
      <c r="AT113" s="146"/>
      <c r="IU113"/>
      <c r="IV113"/>
    </row>
    <row r="114" spans="1:256" s="267" customFormat="1" ht="9.75" customHeight="1">
      <c r="A114" s="167" t="s">
        <v>357</v>
      </c>
      <c r="B114" s="168"/>
      <c r="C114" s="304"/>
      <c r="D114" s="170" t="s">
        <v>277</v>
      </c>
      <c r="E114" s="171" t="s">
        <v>97</v>
      </c>
      <c r="F114" s="171">
        <v>145</v>
      </c>
      <c r="G114" s="151">
        <f>(Krr___0+2*Schn___0+2*Ges)/5</f>
        <v>75</v>
      </c>
      <c r="H114" s="135">
        <f>IF(G114&lt;50,450-6*G114,IF(G114&lt;100,250-2*G114,75-G114/4))</f>
        <v>100</v>
      </c>
      <c r="I114" s="136">
        <f>H114*F114/100</f>
        <v>145</v>
      </c>
      <c r="J114" s="380" t="s">
        <v>358</v>
      </c>
      <c r="K114" s="374"/>
      <c r="L114" s="381" t="s">
        <v>359</v>
      </c>
      <c r="M114" s="382"/>
      <c r="N114" s="383">
        <f>ROUND(25+(Ges+Schn___0)/10,0)</f>
        <v>40</v>
      </c>
      <c r="O114" s="377" t="s">
        <v>168</v>
      </c>
      <c r="P114" s="378"/>
      <c r="Q114" s="378"/>
      <c r="R114" s="384">
        <f>ROUND(40+(Schn___0+Kons)/10,0)</f>
        <v>55</v>
      </c>
      <c r="S114" s="209"/>
      <c r="T114" s="167" t="s">
        <v>357</v>
      </c>
      <c r="U114" s="137"/>
      <c r="V114" s="301"/>
      <c r="W114" s="139"/>
      <c r="X114" s="140">
        <f>IF(W114&gt;0,INDEX(lerntab___0,W114,1),0)</f>
        <v>0</v>
      </c>
      <c r="Y114" s="141">
        <f>ROUND(X114*I114,0)</f>
        <v>0</v>
      </c>
      <c r="Z114" s="228"/>
      <c r="AA114" s="167" t="s">
        <v>341</v>
      </c>
      <c r="AB114" s="137"/>
      <c r="AC114" s="316"/>
      <c r="AD114" s="139"/>
      <c r="AE114" s="140">
        <f>IF(AD114&gt;0,INDEX(lerntab___0,AD114,1),0)</f>
        <v>0</v>
      </c>
      <c r="AF114" s="141">
        <f>ROUND(AE114*1.5*I108,0)</f>
        <v>0</v>
      </c>
      <c r="AG114" s="210"/>
      <c r="AI114" s="166"/>
      <c r="AJ114" s="139"/>
      <c r="AK114" s="322"/>
      <c r="AN114" s="146">
        <f>IF(LEFT(D114,1)="A",Y114,0)</f>
        <v>0</v>
      </c>
      <c r="AO114" s="146">
        <f>IF(LEFT(D114,1)="K",Y114,0)</f>
        <v>0</v>
      </c>
      <c r="AP114" s="146">
        <f>IF(LEFT(D114,1)="M",Y114,0)</f>
        <v>0</v>
      </c>
      <c r="AQ114" s="289"/>
      <c r="AR114" s="146"/>
      <c r="AS114" s="146">
        <f>AF114</f>
        <v>0</v>
      </c>
      <c r="AT114" s="146"/>
      <c r="IU114"/>
      <c r="IV114"/>
    </row>
    <row r="115" spans="1:256" s="267" customFormat="1" ht="9.75" customHeight="1">
      <c r="A115" s="147" t="s">
        <v>360</v>
      </c>
      <c r="B115" s="148"/>
      <c r="C115" s="133"/>
      <c r="D115" s="134" t="s">
        <v>277</v>
      </c>
      <c r="E115" s="150">
        <v>15</v>
      </c>
      <c r="F115" s="150">
        <v>103</v>
      </c>
      <c r="G115" s="151">
        <f>(4*Krr___0+Ges)/5</f>
        <v>75</v>
      </c>
      <c r="H115" s="135">
        <f>IF(G115&lt;50,450-6*G115,IF(G115&lt;100,250-2*G115,75-G115/4))</f>
        <v>100</v>
      </c>
      <c r="I115" s="136">
        <f>H115*F115/100</f>
        <v>103</v>
      </c>
      <c r="J115" s="385"/>
      <c r="K115" s="386"/>
      <c r="L115" s="387" t="s">
        <v>361</v>
      </c>
      <c r="M115" s="388"/>
      <c r="N115" s="389">
        <f>ROUND(50+Ges/10,0)</f>
        <v>58</v>
      </c>
      <c r="O115" s="390" t="s">
        <v>197</v>
      </c>
      <c r="P115" s="391"/>
      <c r="Q115" s="391"/>
      <c r="R115" s="350">
        <f>ROUND(35+(Kr___0+Ges)/10,0)</f>
        <v>50</v>
      </c>
      <c r="S115" s="209"/>
      <c r="T115" s="167" t="s">
        <v>360</v>
      </c>
      <c r="U115" s="137"/>
      <c r="V115" s="301"/>
      <c r="W115" s="139"/>
      <c r="X115" s="140">
        <f>IF(W115&gt;0,INDEX(lerntab___0,W115,1),0)</f>
        <v>0</v>
      </c>
      <c r="Y115" s="141">
        <f>ROUND(X115*I115,0)</f>
        <v>0</v>
      </c>
      <c r="Z115" s="228"/>
      <c r="AA115" s="167" t="s">
        <v>344</v>
      </c>
      <c r="AB115" s="137"/>
      <c r="AC115" s="301"/>
      <c r="AD115" s="139"/>
      <c r="AE115" s="140">
        <f>IF(AD115&gt;0,INDEX(lerntab___0,AD115,1),0)</f>
        <v>0</v>
      </c>
      <c r="AF115" s="141">
        <f>ROUND(AE115*1.5*I110,0)</f>
        <v>0</v>
      </c>
      <c r="AG115" s="210"/>
      <c r="AI115" s="166"/>
      <c r="AJ115" s="139"/>
      <c r="AK115" s="322"/>
      <c r="AN115" s="146">
        <f>IF(LEFT(D115,1)="A",Y115,0)</f>
        <v>0</v>
      </c>
      <c r="AO115" s="146">
        <f>IF(LEFT(D115,1)="K",Y115,0)</f>
        <v>0</v>
      </c>
      <c r="AP115" s="146">
        <f>IF(LEFT(D115,1)="M",Y115,0)</f>
        <v>0</v>
      </c>
      <c r="AQ115" s="289"/>
      <c r="AR115" s="146"/>
      <c r="AS115" s="146">
        <f>AF115</f>
        <v>0</v>
      </c>
      <c r="AT115" s="146"/>
      <c r="IU115"/>
      <c r="IV115"/>
    </row>
    <row r="116" spans="1:256" s="267" customFormat="1" ht="9.75" customHeight="1">
      <c r="A116" s="147" t="s">
        <v>362</v>
      </c>
      <c r="B116" s="148"/>
      <c r="C116" s="133"/>
      <c r="D116" s="134" t="s">
        <v>277</v>
      </c>
      <c r="E116" s="150">
        <v>15</v>
      </c>
      <c r="F116" s="150">
        <v>80</v>
      </c>
      <c r="G116" s="151">
        <f>Krr___0</f>
        <v>75</v>
      </c>
      <c r="H116" s="135">
        <f>IF(G116&lt;50,450-6*G116,IF(G116&lt;100,250-2*G116,75-G116/4))</f>
        <v>100</v>
      </c>
      <c r="I116" s="136">
        <f>H116*F116/100</f>
        <v>80</v>
      </c>
      <c r="J116" s="392"/>
      <c r="K116" s="393"/>
      <c r="L116" s="394" t="s">
        <v>181</v>
      </c>
      <c r="M116" s="395"/>
      <c r="N116" s="396">
        <f>ROUND(25+(Int+Ges)/11,0)</f>
        <v>39</v>
      </c>
      <c r="O116" s="397" t="s">
        <v>350</v>
      </c>
      <c r="P116" s="398"/>
      <c r="Q116" s="398"/>
      <c r="R116" s="396">
        <f>ROUND(25+(Int+Ges)/11,0)</f>
        <v>39</v>
      </c>
      <c r="S116" s="209"/>
      <c r="T116" s="167" t="s">
        <v>362</v>
      </c>
      <c r="U116" s="137"/>
      <c r="V116" s="301"/>
      <c r="W116" s="139"/>
      <c r="X116" s="140">
        <f>IF(W116&gt;0,INDEX(lerntab___0,W116,1),0)</f>
        <v>0</v>
      </c>
      <c r="Y116" s="141">
        <f>ROUND(X116*I116,0)</f>
        <v>0</v>
      </c>
      <c r="Z116" s="228"/>
      <c r="AA116" s="167" t="s">
        <v>346</v>
      </c>
      <c r="AB116" s="137"/>
      <c r="AC116" s="301"/>
      <c r="AD116" s="139"/>
      <c r="AE116" s="140">
        <f>IF(AD116&gt;0,INDEX(lerntab___0,AD116,1),0)</f>
        <v>0</v>
      </c>
      <c r="AF116" s="141">
        <f>ROUND(AE116*1.5*I111,0)</f>
        <v>0</v>
      </c>
      <c r="AG116" s="210"/>
      <c r="AI116" s="166"/>
      <c r="AJ116" s="139"/>
      <c r="AK116" s="322"/>
      <c r="AN116" s="146">
        <f>IF(LEFT(D116,1)="A",Y116,0)</f>
        <v>0</v>
      </c>
      <c r="AO116" s="146">
        <f>IF(LEFT(D116,1)="K",Y116,0)</f>
        <v>0</v>
      </c>
      <c r="AP116" s="146">
        <f>IF(LEFT(D116,1)="M",Y116,0)</f>
        <v>0</v>
      </c>
      <c r="AQ116" s="289"/>
      <c r="AR116" s="146"/>
      <c r="AS116" s="146">
        <f>AF116</f>
        <v>0</v>
      </c>
      <c r="AT116" s="146"/>
      <c r="IU116"/>
      <c r="IV116"/>
    </row>
    <row r="117" spans="1:256" s="267" customFormat="1" ht="9.75" customHeight="1">
      <c r="A117" s="147" t="s">
        <v>363</v>
      </c>
      <c r="B117" s="148"/>
      <c r="C117" s="133"/>
      <c r="D117" s="134" t="s">
        <v>277</v>
      </c>
      <c r="E117" s="150">
        <v>-10</v>
      </c>
      <c r="F117" s="150">
        <v>54</v>
      </c>
      <c r="G117" s="151">
        <f>(Krr___0+2*Schn___0+2*Ges)/5</f>
        <v>75</v>
      </c>
      <c r="H117" s="135">
        <f>IF(G117&lt;50,450-6*G117,IF(G117&lt;100,250-2*G117,75-G117/4))</f>
        <v>100</v>
      </c>
      <c r="I117" s="136">
        <f>H117*F117/100</f>
        <v>54</v>
      </c>
      <c r="J117" s="399"/>
      <c r="K117" s="400"/>
      <c r="L117" s="400"/>
      <c r="M117" s="400"/>
      <c r="N117" s="401"/>
      <c r="O117" s="402"/>
      <c r="P117" s="403"/>
      <c r="Q117" s="403"/>
      <c r="R117" s="404"/>
      <c r="S117" s="209"/>
      <c r="T117" s="167" t="s">
        <v>363</v>
      </c>
      <c r="U117" s="137"/>
      <c r="V117" s="301"/>
      <c r="W117" s="139"/>
      <c r="X117" s="140">
        <f>IF(W117&gt;0,INDEX(lerntab___0,W117,1),0)</f>
        <v>0</v>
      </c>
      <c r="Y117" s="141">
        <f>ROUND(X117*I117,0)</f>
        <v>0</v>
      </c>
      <c r="Z117" s="228"/>
      <c r="AA117" s="167" t="s">
        <v>357</v>
      </c>
      <c r="AB117" s="137"/>
      <c r="AC117" s="301"/>
      <c r="AD117" s="139"/>
      <c r="AE117" s="140">
        <f>IF(AD117&gt;0,INDEX(lerntab___0,AD117,1),0)</f>
        <v>0</v>
      </c>
      <c r="AF117" s="141">
        <f>ROUND(AE117*1.5*I114,0)</f>
        <v>0</v>
      </c>
      <c r="AG117" s="210"/>
      <c r="AI117" s="166"/>
      <c r="AJ117" s="139"/>
      <c r="AK117" s="322"/>
      <c r="AN117" s="146">
        <f>IF(LEFT(D117,1)="A",Y117,0)</f>
        <v>0</v>
      </c>
      <c r="AO117" s="146">
        <f>IF(LEFT(D117,1)="K",Y117,0)</f>
        <v>0</v>
      </c>
      <c r="AP117" s="146">
        <f>IF(LEFT(D117,1)="M",Y117,0)</f>
        <v>0</v>
      </c>
      <c r="AQ117" s="289"/>
      <c r="AR117" s="146"/>
      <c r="AS117" s="146">
        <f>AF117</f>
        <v>0</v>
      </c>
      <c r="AT117" s="146"/>
      <c r="IU117"/>
      <c r="IV117"/>
    </row>
    <row r="118" spans="1:256" s="267" customFormat="1" ht="9.75" customHeight="1">
      <c r="A118" s="147" t="s">
        <v>364</v>
      </c>
      <c r="B118" s="148"/>
      <c r="C118" s="133"/>
      <c r="D118" s="134" t="s">
        <v>277</v>
      </c>
      <c r="E118" s="150">
        <v>5</v>
      </c>
      <c r="F118" s="150">
        <v>48</v>
      </c>
      <c r="G118" s="151">
        <f>Krr___0</f>
        <v>75</v>
      </c>
      <c r="H118" s="135">
        <f>IF(G118&lt;50,450-6*G118,IF(G118&lt;100,250-2*G118,75-G118/4))</f>
        <v>100</v>
      </c>
      <c r="I118" s="136">
        <f>H118*F118/100</f>
        <v>48</v>
      </c>
      <c r="J118" s="405"/>
      <c r="K118" s="406"/>
      <c r="L118" s="406"/>
      <c r="M118" s="407"/>
      <c r="N118" s="408"/>
      <c r="O118" s="409"/>
      <c r="P118" s="410"/>
      <c r="Q118" s="410"/>
      <c r="R118" s="411"/>
      <c r="S118" s="209"/>
      <c r="T118" s="167" t="s">
        <v>364</v>
      </c>
      <c r="U118" s="137"/>
      <c r="V118" s="301"/>
      <c r="W118" s="139"/>
      <c r="X118" s="140">
        <f>IF(W118&gt;0,INDEX(lerntab___0,W118,1),0)</f>
        <v>0</v>
      </c>
      <c r="Y118" s="141">
        <f>ROUND(X118*I118,0)</f>
        <v>0</v>
      </c>
      <c r="Z118" s="412" t="s">
        <v>365</v>
      </c>
      <c r="AA118" s="413"/>
      <c r="AB118" s="413"/>
      <c r="AC118" s="414"/>
      <c r="AD118" s="414"/>
      <c r="AE118" s="413"/>
      <c r="AF118" s="415"/>
      <c r="AG118" s="414"/>
      <c r="AH118" s="416"/>
      <c r="AI118" s="166"/>
      <c r="AJ118" s="139"/>
      <c r="AK118" s="322"/>
      <c r="AN118" s="146">
        <f>IF(LEFT(D118,1)="A",Y118,0)</f>
        <v>0</v>
      </c>
      <c r="AO118" s="146">
        <f>IF(LEFT(D118,1)="K",Y118,0)</f>
        <v>0</v>
      </c>
      <c r="AP118" s="146">
        <f>IF(LEFT(D118,1)="M",Y118,0)</f>
        <v>0</v>
      </c>
      <c r="AQ118" s="289"/>
      <c r="AR118" s="146"/>
      <c r="AS118" s="146"/>
      <c r="AT118" s="146"/>
      <c r="IU118"/>
      <c r="IV118"/>
    </row>
    <row r="119" spans="1:256" s="267" customFormat="1" ht="9.75" customHeight="1">
      <c r="A119" s="147" t="s">
        <v>366</v>
      </c>
      <c r="B119" s="148"/>
      <c r="C119" s="133"/>
      <c r="D119" s="134" t="s">
        <v>277</v>
      </c>
      <c r="E119" s="150">
        <v>5</v>
      </c>
      <c r="F119" s="150">
        <v>87</v>
      </c>
      <c r="G119" s="135">
        <f>(2*Krr___0+2*Ges+Schn___0)/5</f>
        <v>75</v>
      </c>
      <c r="H119" s="135">
        <f>IF(G119&lt;50,450-6*G119,IF(G119&lt;100,250-2*G119,75-G119/4))</f>
        <v>100</v>
      </c>
      <c r="I119" s="136">
        <f>H119*F119/100</f>
        <v>87</v>
      </c>
      <c r="J119" s="417" t="s">
        <v>367</v>
      </c>
      <c r="K119" s="418"/>
      <c r="L119" s="418"/>
      <c r="M119" s="418"/>
      <c r="N119" s="419"/>
      <c r="O119" s="420" t="s">
        <v>368</v>
      </c>
      <c r="P119" s="421"/>
      <c r="Q119" s="422" t="s">
        <v>369</v>
      </c>
      <c r="R119" s="423"/>
      <c r="S119" s="120"/>
      <c r="T119" s="167" t="s">
        <v>366</v>
      </c>
      <c r="U119" s="137"/>
      <c r="V119" s="301"/>
      <c r="W119" s="139"/>
      <c r="X119" s="140">
        <f>IF(W119&gt;0,INDEX(lerntab___0,W119,1),0)</f>
        <v>0</v>
      </c>
      <c r="Y119" s="141">
        <f>ROUND(X119*I119,0)</f>
        <v>0</v>
      </c>
      <c r="Z119" s="344" t="s">
        <v>318</v>
      </c>
      <c r="AA119" s="424">
        <f>M102</f>
        <v>20</v>
      </c>
      <c r="AB119" s="425">
        <f>IF(AA119&gt;0,INDEX(lerntab___0,AA119,1),0)</f>
        <v>35</v>
      </c>
      <c r="AC119" s="426">
        <f>ROUND(AB119*R43,0)</f>
        <v>1225</v>
      </c>
      <c r="AD119" s="344" t="s">
        <v>60</v>
      </c>
      <c r="AE119" s="427"/>
      <c r="AF119" s="425">
        <f>M108</f>
        <v>44</v>
      </c>
      <c r="AG119" s="425">
        <f>IF(AF119&gt;0,INDEX(lerntab___0,AF119,1),0)</f>
        <v>249</v>
      </c>
      <c r="AH119" s="426">
        <f>ROUND(AG119*I10,0)</f>
        <v>6225</v>
      </c>
      <c r="AI119" s="166"/>
      <c r="AJ119" s="139"/>
      <c r="AK119" s="322"/>
      <c r="AN119" s="146">
        <f>IF(LEFT(D119,1)="A",Y119,0)</f>
        <v>0</v>
      </c>
      <c r="AO119" s="146">
        <f>IF(LEFT(D119,1)="K",Y119,0)</f>
        <v>0</v>
      </c>
      <c r="AP119" s="146">
        <f>IF(LEFT(D119,1)="M",Y119,0)</f>
        <v>0</v>
      </c>
      <c r="AQ119" s="289"/>
      <c r="AR119" s="146">
        <f>-AH119</f>
        <v>-6225</v>
      </c>
      <c r="AS119" s="146">
        <f>-AC119</f>
        <v>-1225</v>
      </c>
      <c r="AT119" s="146"/>
      <c r="IU119"/>
      <c r="IV119"/>
    </row>
    <row r="120" spans="1:256" s="267" customFormat="1" ht="9.75" customHeight="1">
      <c r="A120" s="147" t="s">
        <v>370</v>
      </c>
      <c r="B120" s="148"/>
      <c r="C120" s="133"/>
      <c r="D120" s="134" t="s">
        <v>277</v>
      </c>
      <c r="E120" s="150">
        <v>10</v>
      </c>
      <c r="F120" s="150">
        <v>93</v>
      </c>
      <c r="G120" s="135">
        <f>(3*Krr___0+Schn___0+Ges)/5</f>
        <v>75</v>
      </c>
      <c r="H120" s="135">
        <f>IF(G120&lt;50,450-6*G120,IF(G120&lt;100,250-2*G120,75-G120/4))</f>
        <v>100</v>
      </c>
      <c r="I120" s="136">
        <f>H120*F120/100</f>
        <v>93</v>
      </c>
      <c r="J120" s="428" t="s">
        <v>371</v>
      </c>
      <c r="K120" s="429"/>
      <c r="L120" s="430"/>
      <c r="M120" s="431" t="s">
        <v>372</v>
      </c>
      <c r="N120" s="432" t="s">
        <v>373</v>
      </c>
      <c r="O120" s="433" t="s">
        <v>374</v>
      </c>
      <c r="P120" s="434" t="s">
        <v>375</v>
      </c>
      <c r="Q120" s="435" t="s">
        <v>49</v>
      </c>
      <c r="R120" s="436" t="s">
        <v>375</v>
      </c>
      <c r="S120" s="120"/>
      <c r="T120" s="167" t="s">
        <v>370</v>
      </c>
      <c r="U120" s="137"/>
      <c r="V120" s="301"/>
      <c r="W120" s="139"/>
      <c r="X120" s="140">
        <f>IF(W120&gt;0,INDEX(lerntab___0,W120,1),0)</f>
        <v>0</v>
      </c>
      <c r="Y120" s="141">
        <f>ROUND(X120*I120,0)</f>
        <v>0</v>
      </c>
      <c r="Z120" s="152" t="s">
        <v>322</v>
      </c>
      <c r="AA120" s="437">
        <f>M103</f>
        <v>35</v>
      </c>
      <c r="AB120" s="351">
        <f>IF(AA120&gt;0,INDEX(lerntab___0,AA120,1),0)</f>
        <v>125</v>
      </c>
      <c r="AC120" s="438">
        <f>ROUND(AB120*R52,0)</f>
        <v>125</v>
      </c>
      <c r="AD120" s="152" t="s">
        <v>64</v>
      </c>
      <c r="AE120" s="352"/>
      <c r="AF120" s="351">
        <f>R108</f>
        <v>28</v>
      </c>
      <c r="AG120" s="351">
        <f>IF(AF120&gt;0,INDEX(lerntab___0,AF120,1),0)</f>
        <v>73</v>
      </c>
      <c r="AH120" s="438">
        <f>ROUND(AG120*I11,0)</f>
        <v>3650</v>
      </c>
      <c r="AI120" s="166"/>
      <c r="AJ120" s="139"/>
      <c r="AK120" s="322"/>
      <c r="AN120" s="146">
        <f>IF(LEFT(D120,1)="A",Y120,0)</f>
        <v>0</v>
      </c>
      <c r="AO120" s="146">
        <f>IF(LEFT(D120,1)="K",Y120,0)</f>
        <v>0</v>
      </c>
      <c r="AP120" s="146">
        <f>IF(LEFT(D120,1)="M",Y120,0)</f>
        <v>0</v>
      </c>
      <c r="AQ120" s="289"/>
      <c r="AR120" s="146">
        <f>-AH120</f>
        <v>-3650</v>
      </c>
      <c r="AS120" s="146">
        <f>-AC120</f>
        <v>-125</v>
      </c>
      <c r="AT120" s="146"/>
      <c r="IU120"/>
      <c r="IV120"/>
    </row>
    <row r="121" spans="1:256" s="267" customFormat="1" ht="9.75" customHeight="1">
      <c r="A121" s="126" t="s">
        <v>376</v>
      </c>
      <c r="B121" s="211"/>
      <c r="C121" s="182"/>
      <c r="D121" s="182"/>
      <c r="E121" s="212"/>
      <c r="F121" s="212"/>
      <c r="G121" s="199"/>
      <c r="H121" s="199"/>
      <c r="I121" s="200"/>
      <c r="J121" s="439" t="s">
        <v>377</v>
      </c>
      <c r="K121" s="440"/>
      <c r="L121" s="441" t="s">
        <v>378</v>
      </c>
      <c r="M121" s="442">
        <f>ROUND(2.5+Kr___0/7,0)</f>
        <v>13</v>
      </c>
      <c r="N121" s="443">
        <f>M121+8</f>
        <v>21</v>
      </c>
      <c r="O121" s="444">
        <f>(M121/2+13)*(1-Zb___0/50)</f>
        <v>19.5</v>
      </c>
      <c r="P121" s="445">
        <f>IF(ISBLANK(GMR),"",O121+GMR-(Zb___0*GMR/50))</f>
      </c>
      <c r="Q121" s="446">
        <f>'Mindest_EW Waffen'!D13</f>
        <v>14</v>
      </c>
      <c r="R121" s="445">
        <f>IF(ISBLANK(EWAbz),"",MIN(Q121,Q121-EWAbz+MAX(AkinR+E101,0)))</f>
      </c>
      <c r="S121" s="120"/>
      <c r="T121" s="447" t="s">
        <v>376</v>
      </c>
      <c r="U121" s="211"/>
      <c r="V121" s="182"/>
      <c r="W121" s="181"/>
      <c r="X121" s="182"/>
      <c r="Y121" s="183"/>
      <c r="Z121" s="152" t="s">
        <v>326</v>
      </c>
      <c r="AA121" s="437">
        <f>M104</f>
        <v>35</v>
      </c>
      <c r="AB121" s="351">
        <f>IF(AA121&gt;0,INDEX(lerntab___0,AA121,1),0)</f>
        <v>125</v>
      </c>
      <c r="AC121" s="438">
        <f>ROUND(AB121*R47,0)</f>
        <v>3750</v>
      </c>
      <c r="AD121" s="152" t="s">
        <v>379</v>
      </c>
      <c r="AE121" s="352"/>
      <c r="AF121" s="351">
        <f>M109</f>
        <v>20</v>
      </c>
      <c r="AG121" s="351">
        <f>IF(AF121&gt;0,INDEX(lerntab___0,AF121,1),0)</f>
        <v>35</v>
      </c>
      <c r="AH121" s="438">
        <f>ROUND(AG121*I10,0)</f>
        <v>875</v>
      </c>
      <c r="AI121" s="166"/>
      <c r="AJ121" s="139"/>
      <c r="AK121" s="322"/>
      <c r="AN121" s="146">
        <f>IF(LEFT(D121,1)="A",Y121,0)</f>
        <v>0</v>
      </c>
      <c r="AO121" s="146">
        <f>IF(LEFT(D121,1)="K",Y121,0)</f>
        <v>0</v>
      </c>
      <c r="AP121" s="146">
        <f>IF(LEFT(D121,1)="M",Y121,0)</f>
        <v>0</v>
      </c>
      <c r="AQ121" s="289"/>
      <c r="AR121" s="146">
        <f>-AH121-AC121</f>
        <v>-4625</v>
      </c>
      <c r="AS121" s="146"/>
      <c r="AT121" s="146"/>
      <c r="IU121"/>
      <c r="IV121"/>
    </row>
    <row r="122" spans="1:256" s="267" customFormat="1" ht="9.75" customHeight="1">
      <c r="A122" s="147" t="s">
        <v>380</v>
      </c>
      <c r="B122" s="148"/>
      <c r="C122" s="133"/>
      <c r="D122" s="134" t="s">
        <v>153</v>
      </c>
      <c r="E122" s="150">
        <v>-5</v>
      </c>
      <c r="F122" s="150">
        <v>81</v>
      </c>
      <c r="G122" s="135">
        <f>(Krr___0+Schn___0+3*Ges)/5</f>
        <v>75</v>
      </c>
      <c r="H122" s="135">
        <f>IF(G122&lt;50,450-6*G122,IF(G122&lt;100,250-2*G122,75-G122/4))</f>
        <v>100</v>
      </c>
      <c r="I122" s="136">
        <f>H122*F122/100</f>
        <v>81</v>
      </c>
      <c r="J122" s="439"/>
      <c r="K122" s="448"/>
      <c r="L122" s="449" t="s">
        <v>381</v>
      </c>
      <c r="M122" s="442">
        <f>ROUND(4+Kr___0/4.25,0)</f>
        <v>22</v>
      </c>
      <c r="N122" s="450">
        <f>ROUND(8+(M122/1.25),0)</f>
        <v>26</v>
      </c>
      <c r="O122" s="451">
        <f>(M122/2+13)*(1-Zb___0/50)</f>
        <v>24</v>
      </c>
      <c r="P122" s="452">
        <f>IF(ISBLANK(GMR),"",O122+GMR-(Zb___0*GMR/50))</f>
      </c>
      <c r="Q122" s="453">
        <f>'Mindest_EW Waffen'!D33</f>
        <v>14</v>
      </c>
      <c r="R122" s="452">
        <f>IF(ISBLANK(EWAbz),"",MIN(Q122,Q122-EWAbz+MAX(AkinR+E121,0)))</f>
      </c>
      <c r="S122" s="120"/>
      <c r="T122" s="454" t="s">
        <v>380</v>
      </c>
      <c r="U122" s="137"/>
      <c r="V122" s="301"/>
      <c r="W122" s="139"/>
      <c r="X122" s="140">
        <f>IF(W122&gt;0,INDEX(lerntab___0,W122,1),0)</f>
        <v>0</v>
      </c>
      <c r="Y122" s="141">
        <f>ROUND(X122*I122,0)</f>
        <v>0</v>
      </c>
      <c r="Z122" s="152" t="s">
        <v>330</v>
      </c>
      <c r="AA122" s="437">
        <f>M105</f>
        <v>30</v>
      </c>
      <c r="AB122" s="351">
        <f>IF(AA122&gt;0,INDEX(lerntab___0,AA122,1),0)</f>
        <v>85</v>
      </c>
      <c r="AC122" s="438">
        <f>ROUND(AB122*R61,0)</f>
        <v>1700</v>
      </c>
      <c r="AD122" s="152" t="s">
        <v>73</v>
      </c>
      <c r="AE122" s="352"/>
      <c r="AF122" s="351">
        <f>R109</f>
        <v>19</v>
      </c>
      <c r="AG122" s="351">
        <f>IF(AF122&gt;0,INDEX(lerntab___0,AF122,1),0)</f>
        <v>32</v>
      </c>
      <c r="AH122" s="438">
        <f>ROUND(AG122*I11,0)</f>
        <v>1600</v>
      </c>
      <c r="AI122" s="166"/>
      <c r="AJ122" s="139"/>
      <c r="AK122" s="322"/>
      <c r="AN122" s="146">
        <f>IF(LEFT(D122,1)="A",Y122,0)</f>
        <v>0</v>
      </c>
      <c r="AO122" s="146">
        <f>IF(LEFT(D122,1)="K",Y122,0)</f>
        <v>0</v>
      </c>
      <c r="AP122" s="146">
        <f>IF(LEFT(D122,1)="M",Y122,0)</f>
        <v>0</v>
      </c>
      <c r="AQ122" s="289"/>
      <c r="AR122" s="146">
        <f>-AH122</f>
        <v>-1600</v>
      </c>
      <c r="AS122" s="146">
        <f>-AC122</f>
        <v>-1700</v>
      </c>
      <c r="AT122" s="146"/>
      <c r="IU122"/>
      <c r="IV122"/>
    </row>
    <row r="123" spans="1:256" s="267" customFormat="1" ht="9.75" customHeight="1">
      <c r="A123" s="147" t="s">
        <v>382</v>
      </c>
      <c r="B123" s="148"/>
      <c r="C123" s="133"/>
      <c r="D123" s="134" t="s">
        <v>153</v>
      </c>
      <c r="E123" s="150">
        <v>-5</v>
      </c>
      <c r="F123" s="150">
        <v>44</v>
      </c>
      <c r="G123" s="135">
        <f>(2*Krr___0+Schn___0+2*Ges)/5</f>
        <v>75</v>
      </c>
      <c r="H123" s="135">
        <f>IF(G123&lt;50,450-6*G123,IF(G123&lt;100,250-2*G123,75-G123/4))</f>
        <v>100</v>
      </c>
      <c r="I123" s="136">
        <f>H123*F123/100</f>
        <v>44</v>
      </c>
      <c r="J123" s="131" t="s">
        <v>383</v>
      </c>
      <c r="K123" s="132"/>
      <c r="L123" s="455" t="s">
        <v>378</v>
      </c>
      <c r="M123" s="456">
        <f>ROUND(2.5+Kr___0/8,0)</f>
        <v>12</v>
      </c>
      <c r="N123" s="450">
        <f>M123+8</f>
        <v>20</v>
      </c>
      <c r="O123" s="451">
        <f>(M123/2+11)*(1-Zb___0/50)</f>
        <v>17</v>
      </c>
      <c r="P123" s="452">
        <f>IF(ISBLANK(GMR),"",O123+GMR-(Zb___0*GMR/50))</f>
      </c>
      <c r="Q123" s="453">
        <f>'Mindest_EW Waffen'!D12</f>
        <v>14</v>
      </c>
      <c r="R123" s="452">
        <f>IF(ISBLANK(EWAbz),"",MIN(Q123,Q123-EWAbz+MAX(AkinR+E100,0)))</f>
      </c>
      <c r="S123" s="120"/>
      <c r="T123" s="454" t="s">
        <v>382</v>
      </c>
      <c r="U123" s="137"/>
      <c r="V123" s="301"/>
      <c r="W123" s="139"/>
      <c r="X123" s="140">
        <f>IF(W123&gt;0,INDEX(lerntab___0,W123,1),0)</f>
        <v>0</v>
      </c>
      <c r="Y123" s="141">
        <f>ROUND(X123*I123,0)</f>
        <v>0</v>
      </c>
      <c r="Z123" s="347" t="s">
        <v>334</v>
      </c>
      <c r="AA123" s="437">
        <f>M106</f>
        <v>18</v>
      </c>
      <c r="AB123" s="351">
        <f>IF(AA123&gt;0,INDEX(lerntab___0,AA123,1),0)</f>
        <v>29</v>
      </c>
      <c r="AC123" s="438">
        <f>ROUND(AB123*I124,0)</f>
        <v>2465</v>
      </c>
      <c r="AD123" s="152" t="s">
        <v>384</v>
      </c>
      <c r="AE123" s="352"/>
      <c r="AF123" s="351">
        <f>M110</f>
        <v>33</v>
      </c>
      <c r="AG123" s="351">
        <f>IF(AF123&gt;0,INDEX(lerntab___0,AF123,1),0)</f>
        <v>109</v>
      </c>
      <c r="AH123" s="438">
        <f>ROUND(AG123*I10,0)</f>
        <v>2725</v>
      </c>
      <c r="AI123" s="166"/>
      <c r="AJ123" s="139"/>
      <c r="AK123" s="322"/>
      <c r="AN123" s="146">
        <f>IF(LEFT(D123,1)="A",Y123,0)</f>
        <v>0</v>
      </c>
      <c r="AO123" s="146">
        <f>IF(LEFT(D123,1)="K",Y123,0)</f>
        <v>0</v>
      </c>
      <c r="AP123" s="146">
        <f>IF(LEFT(D123,1)="M",Y123,0)</f>
        <v>0</v>
      </c>
      <c r="AQ123" s="289"/>
      <c r="AR123" s="146">
        <f>-AH123</f>
        <v>-2725</v>
      </c>
      <c r="AS123" s="146">
        <f>-AC123</f>
        <v>-2465</v>
      </c>
      <c r="AT123" s="146"/>
      <c r="IU123"/>
      <c r="IV123"/>
    </row>
    <row r="124" spans="1:256" s="267" customFormat="1" ht="9.75" customHeight="1">
      <c r="A124" s="147" t="s">
        <v>385</v>
      </c>
      <c r="B124" s="148"/>
      <c r="C124" s="133"/>
      <c r="D124" s="134" t="s">
        <v>386</v>
      </c>
      <c r="E124" s="150">
        <v>-10</v>
      </c>
      <c r="F124" s="150">
        <v>85</v>
      </c>
      <c r="G124" s="135">
        <f>(2*Krr___0+2*Ges+Int)/5</f>
        <v>75</v>
      </c>
      <c r="H124" s="135">
        <f>IF(G124&lt;50,450-6*G124,IF(G124&lt;100,250-2*G124,75-G124/4))</f>
        <v>100</v>
      </c>
      <c r="I124" s="136">
        <f>H124*F124/100</f>
        <v>85</v>
      </c>
      <c r="J124" s="131"/>
      <c r="K124" s="132"/>
      <c r="L124" s="455" t="s">
        <v>381</v>
      </c>
      <c r="M124" s="456">
        <f>ROUND(3.5+Kr___0/4.75,0)</f>
        <v>19</v>
      </c>
      <c r="N124" s="450">
        <f>ROUND(8+(M124/1.25),0)</f>
        <v>23</v>
      </c>
      <c r="O124" s="451">
        <f>(M124/2+11)*(1-Zb___0/50)</f>
        <v>20.5</v>
      </c>
      <c r="P124" s="452">
        <f>IF(ISBLANK(GMR),"",O124+GMR-(Zb___0*GMR/50))</f>
      </c>
      <c r="Q124" s="453">
        <f>'Mindest_EW Waffen'!D32</f>
        <v>14</v>
      </c>
      <c r="R124" s="452">
        <f>IF(ISBLANK(EWAbz),"",MIN(Q124,Q124-EWAbz+MAX(AkinR+E120,0)))</f>
      </c>
      <c r="S124" s="120"/>
      <c r="T124" s="454" t="s">
        <v>385</v>
      </c>
      <c r="U124" s="137"/>
      <c r="V124" s="301"/>
      <c r="W124" s="139">
        <f>M106</f>
        <v>18</v>
      </c>
      <c r="X124" s="140">
        <f>IF(W124&gt;0,INDEX(lerntab___0,W124,1),0)</f>
        <v>29</v>
      </c>
      <c r="Y124" s="141">
        <f>ROUND(X124*I124,0)</f>
        <v>2465</v>
      </c>
      <c r="Z124" s="347" t="s">
        <v>338</v>
      </c>
      <c r="AA124" s="437">
        <f>M107</f>
        <v>25</v>
      </c>
      <c r="AB124" s="351">
        <f>IF(AA124&gt;0,INDEX(lerntab___0,AA124,1),0)</f>
        <v>55</v>
      </c>
      <c r="AC124" s="438">
        <f>ROUND(AB124*I103,0)</f>
        <v>5500</v>
      </c>
      <c r="AD124" s="152" t="s">
        <v>80</v>
      </c>
      <c r="AE124" s="352"/>
      <c r="AF124" s="351">
        <f>R110</f>
        <v>15</v>
      </c>
      <c r="AG124" s="351">
        <f>IF(AF124&gt;0,INDEX(lerntab___0,AF124,1),0)</f>
        <v>20</v>
      </c>
      <c r="AH124" s="438">
        <f>ROUND(AG124*I11,0)</f>
        <v>1000</v>
      </c>
      <c r="AI124" s="166"/>
      <c r="AJ124" s="139"/>
      <c r="AK124" s="322"/>
      <c r="AN124" s="146">
        <f>IF(LEFT(D124,1)="A",Y124,0)</f>
        <v>0</v>
      </c>
      <c r="AO124" s="146">
        <f>IF(LEFT(D124,1)="K",Y124,0)</f>
        <v>2465</v>
      </c>
      <c r="AP124" s="146">
        <f>IF(LEFT(D124,1)="M",Y124,0)</f>
        <v>0</v>
      </c>
      <c r="AQ124" s="289"/>
      <c r="AR124" s="146">
        <f>-AH124</f>
        <v>-1000</v>
      </c>
      <c r="AS124" s="146">
        <f>-AC124</f>
        <v>-5500</v>
      </c>
      <c r="AT124" s="146"/>
      <c r="IU124"/>
      <c r="IV124"/>
    </row>
    <row r="125" spans="1:256" s="267" customFormat="1" ht="9.75" customHeight="1">
      <c r="A125" s="147" t="s">
        <v>387</v>
      </c>
      <c r="B125" s="148"/>
      <c r="C125" s="133"/>
      <c r="D125" s="134" t="s">
        <v>153</v>
      </c>
      <c r="E125" s="150">
        <v>0</v>
      </c>
      <c r="F125" s="150">
        <v>44</v>
      </c>
      <c r="G125" s="135">
        <f>(2*Krr___0+Schn___0+2*Ges)/5</f>
        <v>75</v>
      </c>
      <c r="H125" s="135">
        <f>IF(G125&lt;50,450-6*G125,IF(G125&lt;100,250-2*G125,75-G125/4))</f>
        <v>100</v>
      </c>
      <c r="I125" s="136">
        <f>H125*F125/100</f>
        <v>44</v>
      </c>
      <c r="J125" s="131" t="s">
        <v>388</v>
      </c>
      <c r="K125" s="132"/>
      <c r="L125" s="455" t="s">
        <v>378</v>
      </c>
      <c r="M125" s="456">
        <f>ROUND(2.5+Kr___0/11,0)</f>
        <v>9</v>
      </c>
      <c r="N125" s="450">
        <f>M125+8</f>
        <v>17</v>
      </c>
      <c r="O125" s="451">
        <f>ROUND((M125/2+8.5)*(1-Zb___0/50),2)</f>
        <v>13</v>
      </c>
      <c r="P125" s="452">
        <f>IF(ISBLANK(GMR),"",O125+GMR-(Zb___0*GMR/50))</f>
      </c>
      <c r="Q125" s="453">
        <f>'Mindest_EW Waffen'!D9</f>
        <v>14</v>
      </c>
      <c r="R125" s="452">
        <f>IF(ISBLANK(EWAbz),"",MIN(Q125,Q125-EWAbz+MAX(AkinR+E97,0)))</f>
      </c>
      <c r="S125" s="120"/>
      <c r="T125" s="454" t="s">
        <v>387</v>
      </c>
      <c r="U125" s="137"/>
      <c r="V125" s="301"/>
      <c r="W125" s="139"/>
      <c r="X125" s="140">
        <f>IF(W125&gt;0,INDEX(lerntab___0,W125,1),0)</f>
        <v>0</v>
      </c>
      <c r="Y125" s="141">
        <f>ROUND(X125*I125,0)</f>
        <v>0</v>
      </c>
      <c r="Z125" s="347" t="s">
        <v>319</v>
      </c>
      <c r="AA125" s="437">
        <f>R102</f>
        <v>15</v>
      </c>
      <c r="AB125" s="351">
        <f>IF(AA125&gt;0,INDEX(lerntab___0,AA125,1),0)</f>
        <v>20</v>
      </c>
      <c r="AC125" s="438">
        <f>ROUND(AB125*R72,0)</f>
        <v>3000</v>
      </c>
      <c r="AD125" s="457"/>
      <c r="AE125" s="458"/>
      <c r="AF125" s="459"/>
      <c r="AG125" s="459"/>
      <c r="AH125" s="460"/>
      <c r="AI125" s="166"/>
      <c r="AJ125" s="139"/>
      <c r="AK125" s="322"/>
      <c r="AN125" s="146">
        <f>IF(LEFT(D125,1)="A",Y125,0)</f>
        <v>0</v>
      </c>
      <c r="AO125" s="146">
        <f>IF(LEFT(D125,1)="K",Y125,0)</f>
        <v>0</v>
      </c>
      <c r="AP125" s="146">
        <f>IF(LEFT(D125,1)="M",Y125,0)</f>
        <v>0</v>
      </c>
      <c r="AQ125" s="289"/>
      <c r="AR125" s="146">
        <f>-AH125-AC125</f>
        <v>-3000</v>
      </c>
      <c r="AS125" s="146"/>
      <c r="AT125" s="146"/>
      <c r="IU125"/>
      <c r="IV125"/>
    </row>
    <row r="126" spans="1:256" s="267" customFormat="1" ht="9.75" customHeight="1">
      <c r="A126" s="147" t="s">
        <v>389</v>
      </c>
      <c r="B126" s="148"/>
      <c r="C126" s="133"/>
      <c r="D126" s="134" t="s">
        <v>153</v>
      </c>
      <c r="E126" s="150">
        <v>0</v>
      </c>
      <c r="F126" s="150">
        <v>25</v>
      </c>
      <c r="G126" s="135">
        <f>(3*Krr___0+Schn___0+Ges)/5</f>
        <v>75</v>
      </c>
      <c r="H126" s="135">
        <f>IF(G126&lt;50,450-6*G126,IF(G126&lt;100,250-2*G126,75-G126/4))</f>
        <v>100</v>
      </c>
      <c r="I126" s="136">
        <f>H126*F126/100</f>
        <v>25</v>
      </c>
      <c r="J126" s="131" t="s">
        <v>390</v>
      </c>
      <c r="K126" s="132"/>
      <c r="L126" s="455" t="s">
        <v>378</v>
      </c>
      <c r="M126" s="456">
        <f>ROUND(2.5+Kr___0/9,0)</f>
        <v>11</v>
      </c>
      <c r="N126" s="450">
        <f>M126+8</f>
        <v>19</v>
      </c>
      <c r="O126" s="451">
        <f>ROUND((M126/2+8.5)*(1-Zb___0/50),2)</f>
        <v>14</v>
      </c>
      <c r="P126" s="452">
        <f>IF(ISBLANK(GMR),"",O126+GMR-(Zb___0*GMR/50))</f>
      </c>
      <c r="Q126" s="453">
        <f>'Mindest_EW Waffen'!D8</f>
        <v>14</v>
      </c>
      <c r="R126" s="452">
        <f>IF(ISBLANK(EWAbz),"",MIN(Q126,Q126-EWAbz+MAX(AkinR+E96,0)))</f>
      </c>
      <c r="S126" s="209"/>
      <c r="T126" s="454" t="s">
        <v>389</v>
      </c>
      <c r="U126" s="137"/>
      <c r="V126" s="301"/>
      <c r="W126" s="139"/>
      <c r="X126" s="140">
        <f>IF(W126&gt;0,INDEX(lerntab___0,W126,1),0)</f>
        <v>0</v>
      </c>
      <c r="Y126" s="141">
        <f>ROUND(X126*I126,0)</f>
        <v>0</v>
      </c>
      <c r="Z126" s="347" t="s">
        <v>323</v>
      </c>
      <c r="AA126" s="437">
        <f>R103</f>
        <v>28</v>
      </c>
      <c r="AB126" s="351">
        <f>IF(AA126&gt;0,INDEX(lerntab___0,AA126,1),0)</f>
        <v>73</v>
      </c>
      <c r="AC126" s="438">
        <f>ROUND(AB126*R73,0)</f>
        <v>2190</v>
      </c>
      <c r="AD126" s="461"/>
      <c r="AE126" s="462"/>
      <c r="AF126" s="463"/>
      <c r="AG126" s="463"/>
      <c r="AH126" s="464"/>
      <c r="AI126" s="166"/>
      <c r="AJ126" s="203"/>
      <c r="AK126" s="465"/>
      <c r="AN126" s="146">
        <f>IF(LEFT(D126,1)="A",Y126,0)</f>
        <v>0</v>
      </c>
      <c r="AO126" s="146">
        <f>IF(LEFT(D126,1)="K",Y126,0)</f>
        <v>0</v>
      </c>
      <c r="AP126" s="146">
        <f>IF(LEFT(D126,1)="M",Y126,0)</f>
        <v>0</v>
      </c>
      <c r="AQ126" s="289"/>
      <c r="AR126" s="146">
        <f>-AH126-AC126</f>
        <v>-2190</v>
      </c>
      <c r="AS126" s="146"/>
      <c r="AT126" s="146"/>
      <c r="IU126"/>
      <c r="IV126"/>
    </row>
    <row r="127" spans="1:256" s="267" customFormat="1" ht="9.75" customHeight="1">
      <c r="A127" s="147" t="s">
        <v>391</v>
      </c>
      <c r="B127" s="148"/>
      <c r="C127" s="133"/>
      <c r="D127" s="134" t="s">
        <v>153</v>
      </c>
      <c r="E127" s="150">
        <v>-10</v>
      </c>
      <c r="F127" s="150">
        <v>36</v>
      </c>
      <c r="G127" s="135">
        <f>(Krr___0+Schn___0+3*Ges)/5</f>
        <v>75</v>
      </c>
      <c r="H127" s="135">
        <f>IF(G127&lt;50,450-6*G127,IF(G127&lt;100,250-2*G127,75-G127/4))</f>
        <v>100</v>
      </c>
      <c r="I127" s="136">
        <f>H127*F127/100</f>
        <v>36</v>
      </c>
      <c r="J127" s="131" t="s">
        <v>392</v>
      </c>
      <c r="K127" s="132"/>
      <c r="L127" s="455" t="s">
        <v>378</v>
      </c>
      <c r="M127" s="456">
        <f>ROUND(2+Kr___0/6.75,0)</f>
        <v>13</v>
      </c>
      <c r="N127" s="450">
        <f>M127+18</f>
        <v>31</v>
      </c>
      <c r="O127" s="451">
        <f>ROUND((M127/2+15)*(1-Zb___0/50),2)</f>
        <v>21.5</v>
      </c>
      <c r="P127" s="452">
        <f>IF(ISBLANK(GMR),"",O127+GMR-(Zb___0*GMR/50))</f>
      </c>
      <c r="Q127" s="453">
        <f>'Mindest_EW Waffen'!D10</f>
        <v>14</v>
      </c>
      <c r="R127" s="452">
        <f>IF(ISBLANK(EWAbz),"",MIN(Q127,Q127-EWAbz+MAX(AkinR+E98,0)))</f>
      </c>
      <c r="S127" s="120"/>
      <c r="T127" s="454" t="s">
        <v>391</v>
      </c>
      <c r="U127" s="137"/>
      <c r="V127" s="301"/>
      <c r="W127" s="139"/>
      <c r="X127" s="140">
        <f>IF(W127&gt;0,INDEX(lerntab___0,W127,1),0)</f>
        <v>0</v>
      </c>
      <c r="Y127" s="141">
        <f>ROUND(X127*I127,0)</f>
        <v>0</v>
      </c>
      <c r="Z127" s="347" t="s">
        <v>327</v>
      </c>
      <c r="AA127" s="437">
        <f>R104</f>
        <v>25</v>
      </c>
      <c r="AB127" s="351">
        <f>IF(AA127&gt;0,INDEX(lerntab___0,AA127,1),0)</f>
        <v>55</v>
      </c>
      <c r="AC127" s="438">
        <f>ROUND(AB127*R77,0)</f>
        <v>5225</v>
      </c>
      <c r="AD127" s="461"/>
      <c r="AE127" s="462"/>
      <c r="AF127" s="463"/>
      <c r="AG127" s="463"/>
      <c r="AH127" s="464"/>
      <c r="AI127" s="166"/>
      <c r="AJ127" s="139"/>
      <c r="AK127" s="322"/>
      <c r="AN127" s="146">
        <f>IF(LEFT(D127,1)="A",Y127,0)</f>
        <v>0</v>
      </c>
      <c r="AO127" s="146">
        <f>IF(LEFT(D127,1)="K",Y127,0)</f>
        <v>0</v>
      </c>
      <c r="AP127" s="146">
        <f>IF(LEFT(D127,1)="M",Y127,0)</f>
        <v>0</v>
      </c>
      <c r="AQ127" s="289"/>
      <c r="AR127" s="146">
        <f>-AH127-AC127</f>
        <v>-5225</v>
      </c>
      <c r="AS127" s="146"/>
      <c r="AT127" s="146"/>
      <c r="IU127"/>
      <c r="IV127"/>
    </row>
    <row r="128" spans="1:256" s="267" customFormat="1" ht="9.75" customHeight="1">
      <c r="A128" s="147" t="s">
        <v>393</v>
      </c>
      <c r="B128" s="148"/>
      <c r="C128" s="133"/>
      <c r="D128" s="134" t="s">
        <v>153</v>
      </c>
      <c r="E128" s="150">
        <v>-15</v>
      </c>
      <c r="F128" s="150">
        <v>46</v>
      </c>
      <c r="G128" s="135">
        <f>(4*Ges+Schn___0)/5</f>
        <v>75</v>
      </c>
      <c r="H128" s="135">
        <f>IF(G128&lt;50,450-6*G128,IF(G128&lt;100,250-2*G128,75-G128/4))</f>
        <v>100</v>
      </c>
      <c r="I128" s="136">
        <f>H128*F128/100</f>
        <v>46</v>
      </c>
      <c r="J128" s="131"/>
      <c r="K128" s="132"/>
      <c r="L128" s="455" t="s">
        <v>381</v>
      </c>
      <c r="M128" s="456">
        <f>ROUND(3+Kr___0/3.5,0)</f>
        <v>24</v>
      </c>
      <c r="N128" s="450">
        <f>ROUND(18+(M128/1.35),0)</f>
        <v>36</v>
      </c>
      <c r="O128" s="451">
        <f>ROUND((M128/2+15)*(1-Zb___0/50),2)</f>
        <v>27</v>
      </c>
      <c r="P128" s="452">
        <f>IF(ISBLANK(GMR),"",O128+GMR-(Zb___0*GMR/50))</f>
      </c>
      <c r="Q128" s="453">
        <f>'Mindest_EW Waffen'!D28</f>
        <v>14</v>
      </c>
      <c r="R128" s="452">
        <f>IF(ISBLANK(EWAbz),"",MIN(Q128,Q128-EWAbz+MAX(AkinR+E116,0)))</f>
      </c>
      <c r="S128" s="120"/>
      <c r="T128" s="454" t="s">
        <v>393</v>
      </c>
      <c r="U128" s="137"/>
      <c r="V128" s="301"/>
      <c r="W128" s="139"/>
      <c r="X128" s="140">
        <f>IF(W128&gt;0,INDEX(lerntab___0,W128,1),0)</f>
        <v>0</v>
      </c>
      <c r="Y128" s="141">
        <f>ROUND(X128*I128,0)</f>
        <v>0</v>
      </c>
      <c r="Z128" s="347" t="s">
        <v>331</v>
      </c>
      <c r="AA128" s="437">
        <f>R105</f>
        <v>14</v>
      </c>
      <c r="AB128" s="351">
        <f>IF(AA128&gt;0,INDEX(lerntab___0,AA128,1),0)</f>
        <v>18</v>
      </c>
      <c r="AC128" s="438">
        <f>ROUND(AB128*R79,0)</f>
        <v>1710</v>
      </c>
      <c r="AD128" s="461"/>
      <c r="AE128" s="462"/>
      <c r="AF128" s="463"/>
      <c r="AG128" s="463"/>
      <c r="AH128" s="464"/>
      <c r="AI128" s="166"/>
      <c r="AJ128" s="139"/>
      <c r="AK128" s="322"/>
      <c r="AN128" s="146">
        <f>IF(LEFT(D128,1)="A",Y128,0)</f>
        <v>0</v>
      </c>
      <c r="AO128" s="146">
        <f>IF(LEFT(D128,1)="K",Y128,0)</f>
        <v>0</v>
      </c>
      <c r="AP128" s="146">
        <f>IF(LEFT(D128,1)="M",Y128,0)</f>
        <v>0</v>
      </c>
      <c r="AQ128" s="289"/>
      <c r="AR128" s="146">
        <f>-AH128-AC128</f>
        <v>-1710</v>
      </c>
      <c r="AS128" s="146"/>
      <c r="AT128" s="146"/>
      <c r="IU128"/>
      <c r="IV128"/>
    </row>
    <row r="129" spans="1:256" s="267" customFormat="1" ht="9.75" customHeight="1">
      <c r="A129" s="126" t="s">
        <v>394</v>
      </c>
      <c r="B129" s="211"/>
      <c r="C129" s="182"/>
      <c r="D129" s="182"/>
      <c r="E129" s="212"/>
      <c r="F129" s="212"/>
      <c r="G129" s="199"/>
      <c r="H129" s="199"/>
      <c r="I129" s="200"/>
      <c r="J129" s="131" t="s">
        <v>395</v>
      </c>
      <c r="K129" s="132"/>
      <c r="L129" s="455" t="s">
        <v>378</v>
      </c>
      <c r="M129" s="456">
        <f>ROUND(0.5+Kr___0/7,0)</f>
        <v>11</v>
      </c>
      <c r="N129" s="450">
        <f>M129+20</f>
        <v>31</v>
      </c>
      <c r="O129" s="451">
        <f>ROUND(((M129+2)/2+15)*(1-Zb___0/50),2)</f>
        <v>21.5</v>
      </c>
      <c r="P129" s="452">
        <f>IF(ISBLANK(GMR),"",O129+GMR-(Zb___0*GMR/50))</f>
      </c>
      <c r="Q129" s="453">
        <f>'Mindest_EW Waffen'!D11</f>
        <v>14</v>
      </c>
      <c r="R129" s="452">
        <f>IF(ISBLANK(EWAbz),"",MIN(Q129,Q129-EWAbz+MAX(AkinR+E99,0)))</f>
      </c>
      <c r="S129" s="120"/>
      <c r="T129" s="447" t="s">
        <v>394</v>
      </c>
      <c r="U129" s="211"/>
      <c r="V129" s="182"/>
      <c r="W129" s="181"/>
      <c r="X129" s="182"/>
      <c r="Y129" s="183"/>
      <c r="Z129" s="347" t="s">
        <v>396</v>
      </c>
      <c r="AA129" s="437">
        <f>M111</f>
        <v>6</v>
      </c>
      <c r="AB129" s="351">
        <f>IF(AA129&gt;0,INDEX(lerntab___0,AA129,1),0)</f>
        <v>6</v>
      </c>
      <c r="AC129" s="438">
        <f>ROUND(AB129*I163,0)</f>
        <v>128</v>
      </c>
      <c r="AD129" s="461"/>
      <c r="AE129" s="462"/>
      <c r="AF129" s="463"/>
      <c r="AG129" s="463"/>
      <c r="AH129" s="464"/>
      <c r="AI129" s="166"/>
      <c r="AJ129" s="139"/>
      <c r="AK129" s="322"/>
      <c r="AN129" s="146">
        <f>IF(LEFT(D129,1)="A",Y129,0)</f>
        <v>0</v>
      </c>
      <c r="AO129" s="146">
        <f>IF(LEFT(D129,1)="K",Y129,0)</f>
        <v>0</v>
      </c>
      <c r="AP129" s="146">
        <f>IF(LEFT(D129,1)="M",Y129,0)</f>
        <v>0</v>
      </c>
      <c r="AQ129" s="289"/>
      <c r="AR129" s="146">
        <f>-AC129</f>
        <v>-128</v>
      </c>
      <c r="AS129" s="146">
        <f>-AH129</f>
        <v>0</v>
      </c>
      <c r="AT129" s="146"/>
      <c r="IU129"/>
      <c r="IV129"/>
    </row>
    <row r="130" spans="1:256" s="267" customFormat="1" ht="9.75" customHeight="1">
      <c r="A130" s="147" t="s">
        <v>397</v>
      </c>
      <c r="B130" s="148"/>
      <c r="C130" s="133"/>
      <c r="D130" s="134" t="s">
        <v>277</v>
      </c>
      <c r="E130" s="150">
        <v>10</v>
      </c>
      <c r="F130" s="150">
        <v>80</v>
      </c>
      <c r="G130" s="135">
        <f>(Ges+3*Kom+Schn___0)/5</f>
        <v>75</v>
      </c>
      <c r="H130" s="135">
        <f>IF(G130&lt;50,450-6*G130,IF(G130&lt;100,250-2*G130,75-G130/4))</f>
        <v>100</v>
      </c>
      <c r="I130" s="136">
        <f>H130*F130/100</f>
        <v>80</v>
      </c>
      <c r="J130" s="131"/>
      <c r="K130" s="132"/>
      <c r="L130" s="455" t="s">
        <v>381</v>
      </c>
      <c r="M130" s="456">
        <f>ROUND(2+Kr___0/4.25,0)</f>
        <v>20</v>
      </c>
      <c r="N130" s="450">
        <f>ROUND(18+((M130+4)/1.35),0)</f>
        <v>36</v>
      </c>
      <c r="O130" s="451">
        <f>ROUND(((M130+4)/2+15)*(1-Zb___0/50),2)</f>
        <v>27</v>
      </c>
      <c r="P130" s="452">
        <f>IF(ISBLANK(GMR),"",O130+GMR-(Zb___0*GMR/50))</f>
      </c>
      <c r="Q130" s="453">
        <f>'Mindest_EW Waffen'!D29</f>
        <v>14</v>
      </c>
      <c r="R130" s="452">
        <f>IF(ISBLANK(EWAbz),"",MIN(Q130,Q130-EWAbz+MAX(AkinR+E117,0)))</f>
      </c>
      <c r="S130" s="120"/>
      <c r="T130" s="454" t="s">
        <v>397</v>
      </c>
      <c r="U130" s="137"/>
      <c r="V130" s="301"/>
      <c r="W130" s="139"/>
      <c r="X130" s="140">
        <f>IF(W130&gt;0,INDEX(lerntab___0,W130,1),0)</f>
        <v>0</v>
      </c>
      <c r="Y130" s="141">
        <f>ROUND(X130*I130,0)</f>
        <v>0</v>
      </c>
      <c r="Z130" s="347" t="s">
        <v>335</v>
      </c>
      <c r="AA130" s="437">
        <f>R106</f>
        <v>12</v>
      </c>
      <c r="AB130" s="351">
        <f>IF(AA130&gt;0,INDEX(lerntab___0,AA130,1),0)</f>
        <v>14</v>
      </c>
      <c r="AC130" s="438">
        <f>ROUND(AB130*R85,0)</f>
        <v>1885</v>
      </c>
      <c r="AD130" s="461"/>
      <c r="AE130" s="462"/>
      <c r="AF130" s="463"/>
      <c r="AG130" s="463"/>
      <c r="AH130" s="464"/>
      <c r="AI130" s="166"/>
      <c r="AJ130" s="139"/>
      <c r="AK130" s="322"/>
      <c r="AN130" s="146">
        <f>IF(LEFT(D130,1)="A",Y130,0)</f>
        <v>0</v>
      </c>
      <c r="AO130" s="146">
        <f>IF(LEFT(D130,1)="K",Y130,0)</f>
        <v>0</v>
      </c>
      <c r="AP130" s="146">
        <f>IF(LEFT(D130,1)="M",Y130,0)</f>
        <v>0</v>
      </c>
      <c r="AQ130" s="289"/>
      <c r="AR130" s="146">
        <f>-AC130</f>
        <v>-1885</v>
      </c>
      <c r="AS130" s="146">
        <f>-AH130</f>
        <v>0</v>
      </c>
      <c r="AT130" s="146"/>
      <c r="IU130"/>
      <c r="IV130"/>
    </row>
    <row r="131" spans="1:256" s="267" customFormat="1" ht="9.75" customHeight="1">
      <c r="A131" s="147" t="s">
        <v>398</v>
      </c>
      <c r="B131" s="148"/>
      <c r="C131" s="133"/>
      <c r="D131" s="134" t="s">
        <v>277</v>
      </c>
      <c r="E131" s="150">
        <v>10</v>
      </c>
      <c r="F131" s="150">
        <v>64</v>
      </c>
      <c r="G131" s="135">
        <f>(3*Ges+Int+Schn___0)/5</f>
        <v>75</v>
      </c>
      <c r="H131" s="135">
        <f>IF(G131&lt;50,450-6*G131,IF(G131&lt;100,250-2*G131,75-G131/4))</f>
        <v>100</v>
      </c>
      <c r="I131" s="136">
        <f>H131*F131/100</f>
        <v>64</v>
      </c>
      <c r="J131" s="131" t="s">
        <v>399</v>
      </c>
      <c r="K131" s="132"/>
      <c r="L131" s="455" t="s">
        <v>378</v>
      </c>
      <c r="M131" s="456">
        <f>ROUND(2.5+Kr___0/6.5,0)</f>
        <v>14</v>
      </c>
      <c r="N131" s="450">
        <f>M131+16</f>
        <v>30</v>
      </c>
      <c r="O131" s="451">
        <f>ROUND((M131/2+14)*(1-Zb___0/50),2)</f>
        <v>21</v>
      </c>
      <c r="P131" s="452">
        <f>IF(ISBLANK(GMR),"",O131+GMR-(Zb___0*GMR/50))</f>
      </c>
      <c r="Q131" s="453">
        <f>'Mindest_EW Waffen'!D15</f>
        <v>14</v>
      </c>
      <c r="R131" s="452">
        <f>IF(ISBLANK(EWAbz),"",MIN(Q131,Q131-EWAbz+MAX(AkinR+E103,0)))</f>
      </c>
      <c r="S131" s="120"/>
      <c r="T131" s="454" t="s">
        <v>398</v>
      </c>
      <c r="U131" s="137"/>
      <c r="V131" s="301"/>
      <c r="W131" s="139"/>
      <c r="X131" s="140">
        <f>IF(W131&gt;0,INDEX(lerntab___0,W131,1),0)</f>
        <v>0</v>
      </c>
      <c r="Y131" s="141">
        <f>ROUND(X131*I131,0)</f>
        <v>0</v>
      </c>
      <c r="Z131" s="347" t="s">
        <v>339</v>
      </c>
      <c r="AA131" s="437">
        <f>R107</f>
        <v>18</v>
      </c>
      <c r="AB131" s="351">
        <f>IF(AA131&gt;0,INDEX(lerntab___0,AA131,1),0)</f>
        <v>29</v>
      </c>
      <c r="AC131" s="438">
        <f>ROUND(AB131*R86,0)</f>
        <v>2610</v>
      </c>
      <c r="AD131" s="461"/>
      <c r="AE131" s="462"/>
      <c r="AF131" s="463"/>
      <c r="AG131" s="463"/>
      <c r="AH131" s="464"/>
      <c r="AI131" s="166"/>
      <c r="AJ131" s="139"/>
      <c r="AK131" s="322"/>
      <c r="AN131" s="146">
        <f>IF(LEFT(D131,1)="A",Y131,0)</f>
        <v>0</v>
      </c>
      <c r="AO131" s="146">
        <f>IF(LEFT(D131,1)="K",Y131,0)</f>
        <v>0</v>
      </c>
      <c r="AP131" s="146">
        <f>IF(LEFT(D131,1)="M",Y131,0)</f>
        <v>0</v>
      </c>
      <c r="AQ131" s="289"/>
      <c r="AR131" s="146">
        <f>-AH131-AC131</f>
        <v>-2610</v>
      </c>
      <c r="AS131" s="146"/>
      <c r="AT131" s="146"/>
      <c r="IU131"/>
      <c r="IV131"/>
    </row>
    <row r="132" spans="1:256" s="267" customFormat="1" ht="9.75" customHeight="1">
      <c r="A132" s="167" t="s">
        <v>400</v>
      </c>
      <c r="B132" s="148"/>
      <c r="C132" s="133"/>
      <c r="D132" s="134" t="s">
        <v>277</v>
      </c>
      <c r="E132" s="150">
        <v>15</v>
      </c>
      <c r="F132" s="150">
        <v>75</v>
      </c>
      <c r="G132" s="135">
        <f>(4*Ges+Int)/5</f>
        <v>75</v>
      </c>
      <c r="H132" s="135">
        <f>IF(G132&lt;50,450-6*G132,IF(G132&lt;100,250-2*G132,75-G132/4))</f>
        <v>100</v>
      </c>
      <c r="I132" s="136">
        <f>H132*F132/100</f>
        <v>75</v>
      </c>
      <c r="J132" s="131" t="s">
        <v>401</v>
      </c>
      <c r="K132" s="132"/>
      <c r="L132" s="455" t="s">
        <v>378</v>
      </c>
      <c r="M132" s="456">
        <f>ROUND(1+Kr___0/10,0)</f>
        <v>9</v>
      </c>
      <c r="N132" s="450">
        <f>M132+21</f>
        <v>30</v>
      </c>
      <c r="O132" s="451">
        <f>ROUND((M132/2+15)*(1-Zb___0/50),2)</f>
        <v>19.5</v>
      </c>
      <c r="P132" s="452">
        <f>IF(ISBLANK(GMR),"",O132+GMR-(Zb___0*GMR/50))</f>
      </c>
      <c r="Q132" s="453">
        <f>'Mindest_EW Waffen'!D14</f>
        <v>14</v>
      </c>
      <c r="R132" s="452">
        <f>IF(ISBLANK(EWAbz),"",MIN(Q132,Q132-EWAbz+MAX(AkinR+E102,0)))</f>
      </c>
      <c r="S132" s="120"/>
      <c r="T132" s="167" t="s">
        <v>400</v>
      </c>
      <c r="U132" s="137"/>
      <c r="V132" s="301"/>
      <c r="W132" s="139"/>
      <c r="X132" s="140">
        <f>IF(W132&gt;0,INDEX(lerntab___0,W132,1),0)</f>
        <v>0</v>
      </c>
      <c r="Y132" s="141">
        <f>ROUND(X132*I132,0)</f>
        <v>0</v>
      </c>
      <c r="Z132" s="466"/>
      <c r="AA132" s="467"/>
      <c r="AB132" s="468"/>
      <c r="AC132" s="469"/>
      <c r="AD132" s="470"/>
      <c r="AE132" s="470"/>
      <c r="AF132" s="469"/>
      <c r="AG132" s="469"/>
      <c r="AH132" s="471"/>
      <c r="AI132" s="166"/>
      <c r="AJ132" s="139"/>
      <c r="AK132" s="322"/>
      <c r="AN132" s="146">
        <f>IF(LEFT(D132,1)="A",Y132,0)</f>
        <v>0</v>
      </c>
      <c r="AO132" s="146">
        <f>IF(LEFT(D132,1)="K",Y132,0)</f>
        <v>0</v>
      </c>
      <c r="AP132" s="146">
        <f>IF(LEFT(D132,1)="M",Y132,0)</f>
        <v>0</v>
      </c>
      <c r="AQ132" s="289"/>
      <c r="AR132" s="146">
        <f>-AH132-AC132</f>
        <v>0</v>
      </c>
      <c r="AS132" s="146"/>
      <c r="AT132" s="146"/>
      <c r="IU132"/>
      <c r="IV132"/>
    </row>
    <row r="133" spans="1:256" s="267" customFormat="1" ht="9.75" customHeight="1">
      <c r="A133" s="167" t="s">
        <v>402</v>
      </c>
      <c r="B133" s="148"/>
      <c r="C133" s="133"/>
      <c r="D133" s="134" t="s">
        <v>277</v>
      </c>
      <c r="E133" s="150">
        <v>15</v>
      </c>
      <c r="F133" s="150">
        <v>90</v>
      </c>
      <c r="G133" s="135">
        <f>(3*Ges+2*Int)/5</f>
        <v>75</v>
      </c>
      <c r="H133" s="135">
        <f>IF(G133&lt;50,450-6*G133,IF(G133&lt;100,250-2*G133,75-G133/4))</f>
        <v>100</v>
      </c>
      <c r="I133" s="136">
        <f>H133*F133/100</f>
        <v>90</v>
      </c>
      <c r="J133" s="131"/>
      <c r="K133" s="132"/>
      <c r="L133" s="455" t="s">
        <v>381</v>
      </c>
      <c r="M133" s="456">
        <f>ROUND(2+Kr___0/5,0)</f>
        <v>17</v>
      </c>
      <c r="N133" s="450">
        <f>ROUND(21+(M133/1.35),0)</f>
        <v>34</v>
      </c>
      <c r="O133" s="451">
        <f>ROUND((M133/2+15)*(1-Zb___0/50),2)</f>
        <v>23.5</v>
      </c>
      <c r="P133" s="452">
        <f>IF(ISBLANK(GMR),"",O133+GMR-(Zb___0*GMR/50))</f>
      </c>
      <c r="Q133" s="453">
        <f>'Mindest_EW Waffen'!D31</f>
        <v>14</v>
      </c>
      <c r="R133" s="452">
        <f>IF(ISBLANK(EWAbz),"",MIN(Q133,Q133-EWAbz+MAX(AkinR+E119,0)))</f>
      </c>
      <c r="S133" s="120"/>
      <c r="T133" s="167" t="s">
        <v>403</v>
      </c>
      <c r="U133" s="137"/>
      <c r="V133" s="301"/>
      <c r="W133" s="139"/>
      <c r="X133" s="140">
        <f>IF(W133&gt;0,INDEX(lerntab___0,W133,1),0)</f>
        <v>0</v>
      </c>
      <c r="Y133" s="141">
        <f>ROUND(X133*I133,0)</f>
        <v>0</v>
      </c>
      <c r="Z133" s="472"/>
      <c r="AA133" s="473"/>
      <c r="AB133" s="474"/>
      <c r="AC133" s="474"/>
      <c r="AD133" s="475"/>
      <c r="AE133" s="475"/>
      <c r="AF133" s="474"/>
      <c r="AG133" s="474"/>
      <c r="AH133" s="476"/>
      <c r="AI133" s="166"/>
      <c r="AJ133" s="139"/>
      <c r="AK133" s="322"/>
      <c r="AN133" s="146">
        <f>IF(LEFT(D133,1)="A",Y133,0)</f>
        <v>0</v>
      </c>
      <c r="AO133" s="146">
        <f>IF(LEFT(D133,1)="K",Y133,0)</f>
        <v>0</v>
      </c>
      <c r="AP133" s="146">
        <f>IF(LEFT(D133,1)="M",Y133,0)</f>
        <v>0</v>
      </c>
      <c r="AQ133" s="289"/>
      <c r="AR133" s="146">
        <f>-AH133-AC133</f>
        <v>0</v>
      </c>
      <c r="AS133" s="146"/>
      <c r="AT133" s="146"/>
      <c r="IU133"/>
      <c r="IV133"/>
    </row>
    <row r="134" spans="1:256" s="267" customFormat="1" ht="9.75" customHeight="1">
      <c r="A134" s="147" t="s">
        <v>404</v>
      </c>
      <c r="B134" s="148"/>
      <c r="C134" s="133"/>
      <c r="D134" s="134" t="s">
        <v>277</v>
      </c>
      <c r="E134" s="150">
        <v>0</v>
      </c>
      <c r="F134" s="150">
        <v>96</v>
      </c>
      <c r="G134" s="135">
        <f>(3*Ges+2*Kom)/5</f>
        <v>75</v>
      </c>
      <c r="H134" s="135">
        <f>IF(G134&lt;50,450-6*G134,IF(G134&lt;100,250-2*G134,75-G134/4))</f>
        <v>100</v>
      </c>
      <c r="I134" s="136">
        <f>H134*F134/100</f>
        <v>96</v>
      </c>
      <c r="J134" s="131" t="s">
        <v>405</v>
      </c>
      <c r="K134" s="132"/>
      <c r="L134" s="455" t="s">
        <v>378</v>
      </c>
      <c r="M134" s="456">
        <f>ROUND(2+Kr___0/12,0)</f>
        <v>8</v>
      </c>
      <c r="N134" s="450">
        <f>M134+21</f>
        <v>29</v>
      </c>
      <c r="O134" s="451">
        <f>ROUND((M134/2+15)*(1-Zb___0/50),2)</f>
        <v>19</v>
      </c>
      <c r="P134" s="452">
        <f>IF(ISBLANK(GMR),"",O134+GMR-(Zb___0*GMR/50))</f>
      </c>
      <c r="Q134" s="453">
        <f>'Mindest_EW Waffen'!D14</f>
        <v>14</v>
      </c>
      <c r="R134" s="452">
        <f>IF(ISBLANK(EWAbz),"",MIN(Q134,Q134-EWAbz+MAX(AkinR+E102,0)))</f>
      </c>
      <c r="S134" s="209"/>
      <c r="T134" s="187" t="s">
        <v>404</v>
      </c>
      <c r="U134" s="137"/>
      <c r="V134" s="301"/>
      <c r="W134" s="139"/>
      <c r="X134" s="140">
        <f>IF(W134&gt;0,INDEX(lerntab___0,W134,1),0)</f>
        <v>0</v>
      </c>
      <c r="Y134" s="141">
        <f>ROUND(X134*I134,0)</f>
        <v>0</v>
      </c>
      <c r="Z134" s="472"/>
      <c r="AA134" s="473"/>
      <c r="AB134" s="474"/>
      <c r="AC134" s="474"/>
      <c r="AD134" s="477"/>
      <c r="AE134" s="477"/>
      <c r="AF134" s="474"/>
      <c r="AG134" s="474"/>
      <c r="AH134" s="476"/>
      <c r="AI134" s="166"/>
      <c r="AJ134" s="139"/>
      <c r="AK134" s="322"/>
      <c r="AN134" s="146">
        <f>IF(LEFT(D134,1)="A",Y134,0)</f>
        <v>0</v>
      </c>
      <c r="AO134" s="146">
        <f>IF(LEFT(D134,1)="K",Y134,0)</f>
        <v>0</v>
      </c>
      <c r="AP134" s="146">
        <f>IF(LEFT(D134,1)="M",Y134,0)</f>
        <v>0</v>
      </c>
      <c r="AQ134" s="289"/>
      <c r="AR134" s="146">
        <f>-AH134-AC134</f>
        <v>0</v>
      </c>
      <c r="AS134" s="146"/>
      <c r="AT134" s="146"/>
      <c r="IU134"/>
      <c r="IV134"/>
    </row>
    <row r="135" spans="1:256" s="267" customFormat="1" ht="9.75" customHeight="1">
      <c r="A135" s="147" t="s">
        <v>406</v>
      </c>
      <c r="B135" s="148"/>
      <c r="C135" s="133"/>
      <c r="D135" s="134" t="s">
        <v>277</v>
      </c>
      <c r="E135" s="150">
        <v>0</v>
      </c>
      <c r="F135" s="150">
        <v>80</v>
      </c>
      <c r="G135" s="135">
        <f>(4*Ges+Int)/5</f>
        <v>75</v>
      </c>
      <c r="H135" s="135">
        <f>IF(G135&lt;50,450-6*G135,IF(G135&lt;100,250-2*G135,75-G135/4))</f>
        <v>100</v>
      </c>
      <c r="I135" s="136">
        <f>H135*F135/100</f>
        <v>80</v>
      </c>
      <c r="J135" s="131"/>
      <c r="K135" s="132"/>
      <c r="L135" s="455" t="s">
        <v>381</v>
      </c>
      <c r="M135" s="456">
        <f>ROUND(3+Kr___0/10,0)</f>
        <v>11</v>
      </c>
      <c r="N135" s="450">
        <f>ROUND(21+(M135/1.35),0)</f>
        <v>29</v>
      </c>
      <c r="O135" s="451">
        <f>ROUND((M135/2+12)*(1-Zb___0/50),2)</f>
        <v>17.5</v>
      </c>
      <c r="P135" s="452">
        <f>IF(ISBLANK(GMR),"",O135+GMR-(Zb___0*GMR/50))</f>
      </c>
      <c r="Q135" s="453">
        <f>'Mindest_EW Waffen'!D30</f>
        <v>14</v>
      </c>
      <c r="R135" s="452">
        <f>IF(ISBLANK(EWAbz),"",MIN(Q135,Q135-EWAbz+MAX(AkinR+E118,0)))</f>
      </c>
      <c r="S135" s="209"/>
      <c r="T135" s="187" t="s">
        <v>406</v>
      </c>
      <c r="U135" s="137"/>
      <c r="V135" s="301"/>
      <c r="W135" s="139"/>
      <c r="X135" s="140">
        <f>IF(W135&gt;0,INDEX(lerntab___0,W135,1),0)</f>
        <v>0</v>
      </c>
      <c r="Y135" s="141">
        <f>ROUND(X135*I135,0)</f>
        <v>0</v>
      </c>
      <c r="Z135" s="472"/>
      <c r="AA135" s="473"/>
      <c r="AB135" s="474"/>
      <c r="AC135" s="474"/>
      <c r="AD135" s="477"/>
      <c r="AE135" s="477"/>
      <c r="AF135" s="474"/>
      <c r="AG135" s="478"/>
      <c r="AH135" s="476"/>
      <c r="AI135" s="166"/>
      <c r="AJ135" s="139"/>
      <c r="AK135" s="322"/>
      <c r="AN135" s="146">
        <f>IF(LEFT(D135,1)="A",Y135,0)</f>
        <v>0</v>
      </c>
      <c r="AO135" s="146">
        <f>IF(LEFT(D135,1)="K",Y135,0)</f>
        <v>0</v>
      </c>
      <c r="AP135" s="146">
        <f>IF(LEFT(D135,1)="M",Y135,0)</f>
        <v>0</v>
      </c>
      <c r="AQ135" s="289"/>
      <c r="AR135" s="146">
        <f>-AH135-AC135</f>
        <v>0</v>
      </c>
      <c r="AS135" s="146"/>
      <c r="AT135" s="146"/>
      <c r="IU135"/>
      <c r="IV135"/>
    </row>
    <row r="136" spans="1:256" s="267" customFormat="1" ht="9.75" customHeight="1">
      <c r="A136" s="167" t="s">
        <v>407</v>
      </c>
      <c r="B136" s="148"/>
      <c r="C136" s="133"/>
      <c r="D136" s="134" t="s">
        <v>408</v>
      </c>
      <c r="E136" s="150">
        <v>-5</v>
      </c>
      <c r="F136" s="150">
        <v>70</v>
      </c>
      <c r="G136" s="135">
        <f>Ges</f>
        <v>75</v>
      </c>
      <c r="H136" s="135">
        <f>IF(G136&lt;50,450-6*G136,IF(G136&lt;100,250-2*G136,75-G136/4))</f>
        <v>100</v>
      </c>
      <c r="I136" s="136">
        <f>H136*F136/100</f>
        <v>70</v>
      </c>
      <c r="J136" s="479" t="s">
        <v>409</v>
      </c>
      <c r="K136" s="132"/>
      <c r="L136" s="455"/>
      <c r="M136" s="132"/>
      <c r="N136" s="480"/>
      <c r="O136" s="481"/>
      <c r="P136" s="481"/>
      <c r="Q136" s="482"/>
      <c r="R136" s="328"/>
      <c r="S136" s="209"/>
      <c r="T136" s="187" t="s">
        <v>410</v>
      </c>
      <c r="U136" s="137"/>
      <c r="V136" s="301"/>
      <c r="W136" s="139"/>
      <c r="X136" s="140">
        <f>IF(W136&gt;0,INDEX(lerntab___0,W136,1),0)</f>
        <v>0</v>
      </c>
      <c r="Y136" s="141">
        <f>ROUND(X136*I136,0)</f>
        <v>0</v>
      </c>
      <c r="Z136" s="472"/>
      <c r="AA136" s="473"/>
      <c r="AB136" s="474"/>
      <c r="AC136" s="474"/>
      <c r="AD136" s="475"/>
      <c r="AE136" s="475"/>
      <c r="AF136" s="474"/>
      <c r="AG136" s="474"/>
      <c r="AH136" s="476"/>
      <c r="AI136" s="166"/>
      <c r="AJ136" s="205"/>
      <c r="AK136" s="483"/>
      <c r="AN136" s="146">
        <f>IF(LEFT(D136,1)="A",Y136,0)</f>
        <v>0</v>
      </c>
      <c r="AO136" s="146">
        <f>IF(LEFT(D136,1)="K",Y136,0)</f>
        <v>0</v>
      </c>
      <c r="AP136" s="146">
        <f>IF(LEFT(D136,1)="M",Y136,0)</f>
        <v>0</v>
      </c>
      <c r="AQ136" s="289"/>
      <c r="AR136" s="146">
        <f>-AH136-AC136</f>
        <v>0</v>
      </c>
      <c r="AS136" s="146"/>
      <c r="AT136" s="146"/>
      <c r="IU136"/>
      <c r="IV136"/>
    </row>
    <row r="137" spans="1:256" s="267" customFormat="1" ht="9.75" customHeight="1">
      <c r="A137" s="126" t="s">
        <v>411</v>
      </c>
      <c r="B137" s="211"/>
      <c r="C137" s="301"/>
      <c r="D137" s="182"/>
      <c r="E137" s="212"/>
      <c r="F137" s="212"/>
      <c r="G137" s="199"/>
      <c r="H137" s="199"/>
      <c r="I137" s="200"/>
      <c r="J137" s="131" t="s">
        <v>412</v>
      </c>
      <c r="K137" s="132"/>
      <c r="L137" s="455" t="s">
        <v>378</v>
      </c>
      <c r="M137" s="456">
        <f>ROUND(2.5+Kr___0/10,0)</f>
        <v>10</v>
      </c>
      <c r="N137" s="450">
        <v>50</v>
      </c>
      <c r="O137" s="451">
        <f>ROUND((M137/2+9)*(1-Zb___0/50),2)</f>
        <v>14</v>
      </c>
      <c r="P137" s="452">
        <f>IF(ISBLANK(GMR),"",O137+GMR-(Zb___0*GMR/50))</f>
      </c>
      <c r="Q137" s="453">
        <f>'Mindest_EW Waffen'!D20</f>
        <v>14</v>
      </c>
      <c r="R137" s="452">
        <f>IF(ISBLANK(EWAbz),"",MIN(Q137,Q137-EWAbz+MAX(AkinR+E107,0)))</f>
      </c>
      <c r="S137" s="209"/>
      <c r="T137" s="126" t="s">
        <v>411</v>
      </c>
      <c r="U137" s="211"/>
      <c r="V137" s="301"/>
      <c r="W137" s="181"/>
      <c r="X137" s="182"/>
      <c r="Y137" s="183"/>
      <c r="Z137" s="484"/>
      <c r="AA137" s="485"/>
      <c r="AB137" s="485"/>
      <c r="AC137" s="485"/>
      <c r="AD137" s="485"/>
      <c r="AE137" s="485"/>
      <c r="AF137" s="485"/>
      <c r="AG137" s="485"/>
      <c r="AH137" s="486"/>
      <c r="AI137" s="166"/>
      <c r="AJ137" s="139"/>
      <c r="AK137" s="322"/>
      <c r="AN137" s="146">
        <f>IF(LEFT(D137,1)="A",Y137,0)</f>
        <v>0</v>
      </c>
      <c r="AO137" s="146">
        <f>IF(LEFT(D137,1)="K",Y137,0)</f>
        <v>0</v>
      </c>
      <c r="AP137" s="146">
        <f>IF(LEFT(D137,1)="M",Y137,0)</f>
        <v>0</v>
      </c>
      <c r="AQ137" s="289"/>
      <c r="AR137" s="146"/>
      <c r="AS137" s="146"/>
      <c r="AT137" s="146"/>
      <c r="IU137"/>
      <c r="IV137"/>
    </row>
    <row r="138" spans="1:256" s="267" customFormat="1" ht="9.75" customHeight="1">
      <c r="A138" s="147" t="s">
        <v>413</v>
      </c>
      <c r="B138" s="148"/>
      <c r="C138" s="133"/>
      <c r="D138" s="134" t="s">
        <v>414</v>
      </c>
      <c r="E138" s="150">
        <v>0</v>
      </c>
      <c r="F138" s="150">
        <v>184</v>
      </c>
      <c r="G138" s="135">
        <f>Ges</f>
        <v>75</v>
      </c>
      <c r="H138" s="135">
        <f>IF(G138&lt;50,450-6*G138,IF(G138&lt;100,250-2*G138,75-G138/4))</f>
        <v>100</v>
      </c>
      <c r="I138" s="136">
        <f>H138*F138/100</f>
        <v>184</v>
      </c>
      <c r="J138" s="131"/>
      <c r="K138" s="132"/>
      <c r="L138" s="455" t="s">
        <v>381</v>
      </c>
      <c r="M138" s="456">
        <f>ROUND(3.5+Kr___0/6.5,0)</f>
        <v>15</v>
      </c>
      <c r="N138" s="450">
        <v>50</v>
      </c>
      <c r="O138" s="451">
        <f>ROUND((M138/2+10)*(1-Zb___0/50),2)</f>
        <v>17.5</v>
      </c>
      <c r="P138" s="452">
        <f>IF(ISBLANK(GMR),"",O138+GMR-(Zb___0*GMR/50))</f>
      </c>
      <c r="Q138" s="453">
        <f>'Mindest_EW Waffen'!D20</f>
        <v>14</v>
      </c>
      <c r="R138" s="452">
        <f>R137</f>
      </c>
      <c r="S138" s="209"/>
      <c r="T138" s="187" t="s">
        <v>413</v>
      </c>
      <c r="U138" s="137"/>
      <c r="V138" s="301"/>
      <c r="W138" s="139"/>
      <c r="X138" s="140">
        <f>IF(W138&gt;0,INDEX(lerntab___0,W138,1),0)</f>
        <v>0</v>
      </c>
      <c r="Y138" s="141">
        <f>ROUND(X138*I138,0)</f>
        <v>0</v>
      </c>
      <c r="Z138" s="487"/>
      <c r="AA138" s="487"/>
      <c r="AB138" s="487"/>
      <c r="AC138" s="487"/>
      <c r="AD138" s="487"/>
      <c r="AE138" s="487"/>
      <c r="AF138" s="487"/>
      <c r="AG138" s="487"/>
      <c r="AH138" s="487"/>
      <c r="AI138" s="166"/>
      <c r="AJ138" s="139"/>
      <c r="AK138" s="322"/>
      <c r="AN138" s="146">
        <f>IF(LEFT(D138,1)="A",Y138,0)</f>
        <v>0</v>
      </c>
      <c r="AO138" s="146">
        <f>IF(LEFT(D138,1)="K",Y138,0)</f>
        <v>0</v>
      </c>
      <c r="AP138" s="146">
        <f>IF(LEFT(D138,1)="M",Y138,0)</f>
        <v>0</v>
      </c>
      <c r="AQ138" s="289"/>
      <c r="AR138" s="146"/>
      <c r="AS138" s="146"/>
      <c r="AT138" s="146"/>
      <c r="IU138"/>
      <c r="IV138"/>
    </row>
    <row r="139" spans="1:256" s="267" customFormat="1" ht="9.75" customHeight="1">
      <c r="A139" s="147" t="s">
        <v>415</v>
      </c>
      <c r="B139" s="148"/>
      <c r="C139" s="133"/>
      <c r="D139" s="134" t="s">
        <v>414</v>
      </c>
      <c r="E139" s="150">
        <v>10</v>
      </c>
      <c r="F139" s="150">
        <v>131</v>
      </c>
      <c r="G139" s="135">
        <f>(2*Krr___0+3*Ges)/5</f>
        <v>75</v>
      </c>
      <c r="H139" s="135">
        <f>IF(G139&lt;50,450-6*G139,IF(G139&lt;100,250-2*G139,75-G139/4))</f>
        <v>100</v>
      </c>
      <c r="I139" s="136">
        <f>H139*F139/100</f>
        <v>131</v>
      </c>
      <c r="J139" s="131" t="s">
        <v>416</v>
      </c>
      <c r="K139" s="132"/>
      <c r="L139" s="455"/>
      <c r="M139" s="456">
        <f>ROUND(3+Kr___0/7.5,0)</f>
        <v>13</v>
      </c>
      <c r="N139" s="450">
        <v>50</v>
      </c>
      <c r="O139" s="451">
        <f>ROUND((M139/2+15)*(1-Zb___0/50),2)</f>
        <v>21.5</v>
      </c>
      <c r="P139" s="452">
        <f>IF(ISBLANK(GMR),"",O139+GMR-(Zb___0*GMR/50))</f>
      </c>
      <c r="Q139" s="453">
        <f>'Mindest_EW Waffen'!D22</f>
        <v>14</v>
      </c>
      <c r="R139" s="452">
        <f>IF(ISBLANK(EWAbz),"",MIN(Q139,Q139-EWAbz+MAX(AkinR+E109,0)))</f>
      </c>
      <c r="S139" s="209"/>
      <c r="T139" s="187" t="s">
        <v>415</v>
      </c>
      <c r="U139" s="137"/>
      <c r="V139" s="301"/>
      <c r="W139" s="139"/>
      <c r="X139" s="140">
        <f>IF(W139&gt;0,INDEX(lerntab___0,W139,1),0)</f>
        <v>0</v>
      </c>
      <c r="Y139" s="141">
        <f>ROUND(X139*I139,0)</f>
        <v>0</v>
      </c>
      <c r="Z139" s="487"/>
      <c r="AA139" s="487"/>
      <c r="AB139" s="487"/>
      <c r="AC139" s="487"/>
      <c r="AD139" s="487"/>
      <c r="AE139" s="487"/>
      <c r="AF139" s="487"/>
      <c r="AG139" s="487"/>
      <c r="AH139" s="487"/>
      <c r="AI139" s="166"/>
      <c r="AJ139" s="139"/>
      <c r="AK139" s="322"/>
      <c r="AN139" s="146">
        <f>IF(LEFT(D139,1)="A",Y139,0)</f>
        <v>0</v>
      </c>
      <c r="AO139" s="146">
        <f>IF(LEFT(D139,1)="K",Y139,0)</f>
        <v>0</v>
      </c>
      <c r="AP139" s="146">
        <f>IF(LEFT(D139,1)="M",Y139,0)</f>
        <v>0</v>
      </c>
      <c r="AQ139" s="289"/>
      <c r="AR139" s="146"/>
      <c r="AS139" s="146"/>
      <c r="AT139" s="146"/>
      <c r="IU139"/>
      <c r="IV139"/>
    </row>
    <row r="140" spans="1:256" s="267" customFormat="1" ht="9.75" customHeight="1">
      <c r="A140" s="147" t="s">
        <v>417</v>
      </c>
      <c r="B140" s="148"/>
      <c r="C140" s="133"/>
      <c r="D140" s="134" t="s">
        <v>414</v>
      </c>
      <c r="E140" s="150" t="s">
        <v>97</v>
      </c>
      <c r="F140" s="150">
        <v>350</v>
      </c>
      <c r="G140" s="135">
        <f>(2*Krr___0+2*Ges+Schn___0)/5</f>
        <v>75</v>
      </c>
      <c r="H140" s="135">
        <f>IF(G140&lt;50,450-6*G140,IF(G140&lt;100,250-2*G140,75-G140/4))</f>
        <v>100</v>
      </c>
      <c r="I140" s="136">
        <f>H140*F140/100</f>
        <v>350</v>
      </c>
      <c r="J140" s="131" t="s">
        <v>418</v>
      </c>
      <c r="K140" s="132"/>
      <c r="L140" s="455"/>
      <c r="M140" s="456">
        <f>M138-1</f>
        <v>14</v>
      </c>
      <c r="N140" s="450">
        <v>50</v>
      </c>
      <c r="O140" s="451">
        <f>O138</f>
        <v>17.5</v>
      </c>
      <c r="P140" s="452">
        <f>IF(ISBLANK(GMR),"",O140+GMR-(Zb___0*GMR/50))</f>
      </c>
      <c r="Q140" s="453">
        <f>'Mindest_EW Waffen'!D20</f>
        <v>14</v>
      </c>
      <c r="R140" s="452">
        <f>R138</f>
      </c>
      <c r="S140" s="209"/>
      <c r="T140" s="187" t="s">
        <v>417</v>
      </c>
      <c r="U140" s="137"/>
      <c r="V140" s="301"/>
      <c r="W140" s="139"/>
      <c r="X140" s="140">
        <f>IF(W140&gt;0,INDEX(lerntab___0,W140,1),0)</f>
        <v>0</v>
      </c>
      <c r="Y140" s="141">
        <f>ROUND(X140*I140,0)</f>
        <v>0</v>
      </c>
      <c r="Z140" s="487"/>
      <c r="AA140" s="487"/>
      <c r="AB140" s="487"/>
      <c r="AC140" s="487"/>
      <c r="AD140" s="487"/>
      <c r="AE140" s="487"/>
      <c r="AF140" s="487"/>
      <c r="AG140" s="487"/>
      <c r="AH140" s="487"/>
      <c r="AI140" s="166"/>
      <c r="AJ140" s="139"/>
      <c r="AK140" s="322"/>
      <c r="AN140" s="146">
        <f>IF(LEFT(D140,1)="A",Y140,0)</f>
        <v>0</v>
      </c>
      <c r="AO140" s="146">
        <f>IF(LEFT(D140,1)="K",Y140,0)</f>
        <v>0</v>
      </c>
      <c r="AP140" s="146">
        <f>IF(LEFT(D140,1)="M",Y140,0)</f>
        <v>0</v>
      </c>
      <c r="AQ140" s="289"/>
      <c r="AR140" s="146"/>
      <c r="AS140" s="146"/>
      <c r="AT140" s="146"/>
      <c r="IU140"/>
      <c r="IV140"/>
    </row>
    <row r="141" spans="1:256" s="267" customFormat="1" ht="9.75" customHeight="1">
      <c r="A141" s="147" t="s">
        <v>419</v>
      </c>
      <c r="B141" s="148"/>
      <c r="C141" s="133"/>
      <c r="D141" s="134" t="s">
        <v>414</v>
      </c>
      <c r="E141" s="150">
        <v>20</v>
      </c>
      <c r="F141" s="150">
        <v>124</v>
      </c>
      <c r="G141" s="135">
        <f>(4*Krr___0+Ges)/5</f>
        <v>75</v>
      </c>
      <c r="H141" s="135">
        <f>IF(G141&lt;50,450-6*G141,IF(G141&lt;100,250-2*G141,75-G141/4))</f>
        <v>100</v>
      </c>
      <c r="I141" s="136">
        <f>H141*F141/100</f>
        <v>124</v>
      </c>
      <c r="J141" s="131" t="s">
        <v>420</v>
      </c>
      <c r="K141" s="132"/>
      <c r="L141" s="455"/>
      <c r="M141" s="456">
        <f>ROUND(4+Kr___0/6,0)</f>
        <v>17</v>
      </c>
      <c r="N141" s="450">
        <v>50</v>
      </c>
      <c r="O141" s="451">
        <f>O139</f>
        <v>21.5</v>
      </c>
      <c r="P141" s="452">
        <f>IF(ISBLANK(GMR),"",O141+GMR-(Zb___0*GMR/50))</f>
      </c>
      <c r="Q141" s="453">
        <f>Q139</f>
        <v>14</v>
      </c>
      <c r="R141" s="452">
        <f>R139</f>
      </c>
      <c r="S141" s="209"/>
      <c r="T141" s="187" t="s">
        <v>419</v>
      </c>
      <c r="U141" s="137"/>
      <c r="V141" s="301"/>
      <c r="W141" s="139"/>
      <c r="X141" s="140">
        <f>IF(W141&gt;0,INDEX(lerntab___0,W141,1),0)</f>
        <v>0</v>
      </c>
      <c r="Y141" s="141">
        <f>ROUND(X141*I141,0)</f>
        <v>0</v>
      </c>
      <c r="Z141" s="487"/>
      <c r="AA141" s="487"/>
      <c r="AB141" s="487"/>
      <c r="AC141" s="487"/>
      <c r="AD141" s="487"/>
      <c r="AE141" s="487"/>
      <c r="AF141" s="487"/>
      <c r="AG141" s="487"/>
      <c r="AH141" s="487"/>
      <c r="AI141" s="166"/>
      <c r="AJ141" s="139"/>
      <c r="AK141" s="322"/>
      <c r="AN141" s="146">
        <f>IF(LEFT(D141,1)="A",Y141,0)</f>
        <v>0</v>
      </c>
      <c r="AO141" s="146">
        <f>IF(LEFT(D141,1)="K",Y141,0)</f>
        <v>0</v>
      </c>
      <c r="AP141" s="146">
        <f>IF(LEFT(D141,1)="M",Y141,0)</f>
        <v>0</v>
      </c>
      <c r="AQ141" s="289"/>
      <c r="AR141" s="146"/>
      <c r="AS141" s="146"/>
      <c r="AT141" s="146"/>
      <c r="IU141"/>
      <c r="IV141"/>
    </row>
    <row r="142" spans="1:256" s="267" customFormat="1" ht="9.75" customHeight="1">
      <c r="A142" s="126" t="s">
        <v>421</v>
      </c>
      <c r="B142" s="211"/>
      <c r="C142" s="182"/>
      <c r="D142" s="182"/>
      <c r="E142" s="212"/>
      <c r="F142" s="212"/>
      <c r="G142" s="199"/>
      <c r="H142" s="199"/>
      <c r="I142" s="200"/>
      <c r="J142" s="131" t="s">
        <v>422</v>
      </c>
      <c r="K142" s="132"/>
      <c r="L142" s="455"/>
      <c r="M142" s="456">
        <f>ROUND(3.5+Kr___0/6.25,0)</f>
        <v>16</v>
      </c>
      <c r="N142" s="450">
        <v>50</v>
      </c>
      <c r="O142" s="451">
        <f>O139</f>
        <v>21.5</v>
      </c>
      <c r="P142" s="452">
        <f>IF(ISBLANK(GMR),"",O142+GMR-(Zb___0*GMR/50))</f>
      </c>
      <c r="Q142" s="453">
        <f>Q141</f>
        <v>14</v>
      </c>
      <c r="R142" s="452">
        <f>R139</f>
      </c>
      <c r="S142" s="209"/>
      <c r="T142" s="126" t="s">
        <v>421</v>
      </c>
      <c r="U142" s="211"/>
      <c r="V142" s="182"/>
      <c r="W142" s="181"/>
      <c r="X142" s="182">
        <f>IF(W142&gt;0,INDEX(lerntab___0,W142,1),0)</f>
        <v>0</v>
      </c>
      <c r="Y142" s="183">
        <f>ROUND(X142*I142,0)</f>
        <v>0</v>
      </c>
      <c r="Z142" s="487"/>
      <c r="AA142" s="487"/>
      <c r="AB142" s="487"/>
      <c r="AC142" s="487"/>
      <c r="AD142" s="487"/>
      <c r="AE142" s="487"/>
      <c r="AF142" s="487"/>
      <c r="AG142" s="487"/>
      <c r="AH142" s="487"/>
      <c r="AI142" s="121" t="s">
        <v>423</v>
      </c>
      <c r="AJ142" s="122"/>
      <c r="AK142" s="282"/>
      <c r="AN142" s="146">
        <f>IF(LEFT(D142,1)="A",Y142,0)</f>
        <v>0</v>
      </c>
      <c r="AO142" s="146">
        <f>IF(LEFT(D142,1)="K",Y142,0)</f>
        <v>0</v>
      </c>
      <c r="AP142" s="146">
        <f>IF(LEFT(D142,1)="M",Y142,0)</f>
        <v>0</v>
      </c>
      <c r="AQ142" s="289"/>
      <c r="AR142" s="146"/>
      <c r="AS142" s="146"/>
      <c r="AT142" s="146"/>
      <c r="IU142"/>
      <c r="IV142"/>
    </row>
    <row r="143" spans="1:256" s="267" customFormat="1" ht="9.75" customHeight="1">
      <c r="A143" s="147" t="s">
        <v>424</v>
      </c>
      <c r="B143" s="148"/>
      <c r="C143" s="133"/>
      <c r="D143" s="456" t="s">
        <v>425</v>
      </c>
      <c r="E143" s="488" t="s">
        <v>426</v>
      </c>
      <c r="F143" s="489" t="s">
        <v>427</v>
      </c>
      <c r="G143" s="490"/>
      <c r="H143" s="490"/>
      <c r="I143" s="200"/>
      <c r="J143" s="131" t="s">
        <v>428</v>
      </c>
      <c r="K143" s="132"/>
      <c r="L143" s="491"/>
      <c r="M143" s="456">
        <f>ROUND(Kr___0/10,0)</f>
        <v>8</v>
      </c>
      <c r="N143" s="492" t="s">
        <v>429</v>
      </c>
      <c r="O143" s="493" t="s">
        <v>430</v>
      </c>
      <c r="P143" s="494"/>
      <c r="Q143" s="453">
        <f>'Mindest_EW Waffen'!D25</f>
        <v>14</v>
      </c>
      <c r="R143" s="452">
        <f>IF(ISBLANK(EWAbz),"",MIN(Q143,Q143-EWAbz+MAX(AkinR+E112,0)))</f>
      </c>
      <c r="S143" s="209"/>
      <c r="T143" s="187" t="s">
        <v>431</v>
      </c>
      <c r="U143" s="137"/>
      <c r="V143" s="301"/>
      <c r="W143" s="495"/>
      <c r="X143" s="496"/>
      <c r="Y143" s="183"/>
      <c r="Z143" s="487"/>
      <c r="AA143" s="487"/>
      <c r="AB143" s="487"/>
      <c r="AC143" s="487"/>
      <c r="AD143" s="487"/>
      <c r="AE143" s="487"/>
      <c r="AF143" s="487"/>
      <c r="AG143" s="487"/>
      <c r="AH143" s="487"/>
      <c r="AI143" s="121" t="s">
        <v>41</v>
      </c>
      <c r="AJ143" s="143" t="s">
        <v>49</v>
      </c>
      <c r="AK143" s="144" t="s">
        <v>51</v>
      </c>
      <c r="AN143" s="146">
        <f>IF(LEFT(D143,1)="A",Y143,0)</f>
        <v>0</v>
      </c>
      <c r="AO143" s="146">
        <f>IF(LEFT(D143,1)="K",Y143,0)</f>
        <v>0</v>
      </c>
      <c r="AP143" s="146">
        <f>IF(LEFT(D143,1)="M",Y143,0)</f>
        <v>0</v>
      </c>
      <c r="AQ143" s="289"/>
      <c r="AR143" s="146"/>
      <c r="AS143" s="146"/>
      <c r="AT143" s="146"/>
      <c r="IU143"/>
      <c r="IV143"/>
    </row>
    <row r="144" spans="1:256" s="267" customFormat="1" ht="9.75" customHeight="1">
      <c r="A144" s="147" t="s">
        <v>432</v>
      </c>
      <c r="B144" s="148"/>
      <c r="C144" s="133"/>
      <c r="D144" s="134" t="s">
        <v>386</v>
      </c>
      <c r="E144" s="150" t="s">
        <v>433</v>
      </c>
      <c r="F144" s="150">
        <v>115</v>
      </c>
      <c r="G144" s="135">
        <f>(3*Krr___0+2*Kons)/5</f>
        <v>75</v>
      </c>
      <c r="H144" s="135">
        <f>IF(G144&lt;50,450-6*G144,IF(G144&lt;100,250-2*G144,75-G144/4))</f>
        <v>100</v>
      </c>
      <c r="I144" s="136">
        <f>H144*F144/100</f>
        <v>115</v>
      </c>
      <c r="J144" s="479" t="s">
        <v>376</v>
      </c>
      <c r="K144" s="132"/>
      <c r="L144" s="455"/>
      <c r="M144" s="148"/>
      <c r="N144" s="480" t="s">
        <v>434</v>
      </c>
      <c r="O144" s="481"/>
      <c r="P144" s="481"/>
      <c r="Q144" s="482"/>
      <c r="R144" s="328"/>
      <c r="S144" s="209"/>
      <c r="T144" s="147" t="s">
        <v>435</v>
      </c>
      <c r="U144" s="137"/>
      <c r="V144" s="301"/>
      <c r="W144" s="139"/>
      <c r="X144" s="140">
        <f>IF(W144&gt;0,INDEX(lerntab___0,W144,1),0)</f>
        <v>0</v>
      </c>
      <c r="Y144" s="141">
        <f>ROUND(X144*I144,0)</f>
        <v>0</v>
      </c>
      <c r="Z144"/>
      <c r="AA144"/>
      <c r="AB144"/>
      <c r="AC144"/>
      <c r="AD144"/>
      <c r="AE144"/>
      <c r="AF144"/>
      <c r="AG144"/>
      <c r="AH144"/>
      <c r="AI144" s="166"/>
      <c r="AJ144" s="139"/>
      <c r="AK144" s="322"/>
      <c r="AN144" s="146">
        <f>IF(LEFT(D144,1)="A",Y144,0)</f>
        <v>0</v>
      </c>
      <c r="AO144" s="146">
        <f>IF(LEFT(D144,1)="K",Y144,0)</f>
        <v>0</v>
      </c>
      <c r="AP144" s="146">
        <f>IF(LEFT(D144,1)="M",Y144,0)</f>
        <v>0</v>
      </c>
      <c r="AQ144" s="289"/>
      <c r="AR144" s="146"/>
      <c r="AS144" s="146"/>
      <c r="AT144" s="146"/>
      <c r="IU144"/>
      <c r="IV144"/>
    </row>
    <row r="145" spans="1:256" s="267" customFormat="1" ht="9.75" customHeight="1">
      <c r="A145" s="147" t="s">
        <v>436</v>
      </c>
      <c r="B145" s="148"/>
      <c r="C145" s="133"/>
      <c r="D145" s="134" t="s">
        <v>153</v>
      </c>
      <c r="E145" s="150" t="s">
        <v>433</v>
      </c>
      <c r="F145" s="150">
        <v>30</v>
      </c>
      <c r="G145" s="135">
        <f>(2*Krr___0+3*Ges)/5</f>
        <v>75</v>
      </c>
      <c r="H145" s="135">
        <f>IF(G145&lt;50,450-6*G145,IF(G145&lt;100,250-2*G145,75-G145/4))</f>
        <v>100</v>
      </c>
      <c r="I145" s="136">
        <f>H145*F145/100</f>
        <v>30</v>
      </c>
      <c r="J145" s="131" t="s">
        <v>437</v>
      </c>
      <c r="K145" s="132"/>
      <c r="L145" s="455"/>
      <c r="M145" s="456">
        <f>ROUND(1.5+Kr___0/10,0)</f>
        <v>9</v>
      </c>
      <c r="N145" s="450">
        <f>ROUND($M$147,0)</f>
        <v>25</v>
      </c>
      <c r="O145" s="451">
        <f>ROUND(($M$147/4+16)*(1-Zb___0/50),2)</f>
        <v>22.25</v>
      </c>
      <c r="P145" s="452">
        <f>IF(ISBLANK(GMR),"",O145+GMR-(Zb___0*GMR/50))</f>
      </c>
      <c r="Q145" s="453">
        <f>'Mindest_EW Waffen'!D36</f>
        <v>18</v>
      </c>
      <c r="R145" s="452">
        <f>IF(ISBLANK(EWAbz),"",MIN(Q145,Q145-EWAbz+MAX(AkinR+E123,0)))</f>
      </c>
      <c r="S145" s="209"/>
      <c r="T145" s="147" t="s">
        <v>438</v>
      </c>
      <c r="U145" s="137"/>
      <c r="V145" s="301"/>
      <c r="W145" s="139"/>
      <c r="X145" s="140">
        <f>IF(W145&gt;0,INDEX(lerntab___0,W145,1),0)</f>
        <v>0</v>
      </c>
      <c r="Y145" s="141">
        <f>ROUND(X145*I145,0)</f>
        <v>0</v>
      </c>
      <c r="Z145"/>
      <c r="AA145"/>
      <c r="AB145"/>
      <c r="AC145"/>
      <c r="AD145"/>
      <c r="AE145"/>
      <c r="AF145"/>
      <c r="AG145"/>
      <c r="AH145"/>
      <c r="AI145" s="166"/>
      <c r="AJ145" s="139"/>
      <c r="AK145" s="322"/>
      <c r="AN145" s="146">
        <f>IF(LEFT(D145,1)="A",Y145,0)</f>
        <v>0</v>
      </c>
      <c r="AO145" s="146">
        <f>IF(LEFT(D145,1)="K",Y145,0)</f>
        <v>0</v>
      </c>
      <c r="AP145" s="146">
        <f>IF(LEFT(D145,1)="M",Y145,0)</f>
        <v>0</v>
      </c>
      <c r="AQ145" s="289"/>
      <c r="AR145" s="146"/>
      <c r="AS145" s="146"/>
      <c r="AT145" s="146"/>
      <c r="IU145"/>
      <c r="IV145"/>
    </row>
    <row r="146" spans="1:256" s="267" customFormat="1" ht="9.75" customHeight="1">
      <c r="A146" s="147" t="s">
        <v>439</v>
      </c>
      <c r="B146" s="148"/>
      <c r="C146" s="133"/>
      <c r="D146" s="134" t="s">
        <v>440</v>
      </c>
      <c r="E146" s="150" t="s">
        <v>433</v>
      </c>
      <c r="F146" s="150">
        <v>2</v>
      </c>
      <c r="G146" s="135">
        <v>75</v>
      </c>
      <c r="H146" s="135">
        <f>IF(G146&lt;50,450-6*G146,IF(G146&lt;100,250-2*G146,75-G146/4))</f>
        <v>100</v>
      </c>
      <c r="I146" s="136">
        <f>H146*F146/100</f>
        <v>2</v>
      </c>
      <c r="J146" s="131" t="s">
        <v>441</v>
      </c>
      <c r="K146" s="132"/>
      <c r="L146" s="455"/>
      <c r="M146" s="456">
        <f>ROUND(2.5+Kr___0/8.5,0)</f>
        <v>11</v>
      </c>
      <c r="N146" s="450">
        <f>ROUND($M$147*1.25,0)</f>
        <v>31</v>
      </c>
      <c r="O146" s="451">
        <f>ROUND(($M$147/4+20)*(1-Zb___0/50),2)</f>
        <v>26.25</v>
      </c>
      <c r="P146" s="452">
        <f>IF(ISBLANK(GMR),"",O146+GMR-(Zb___0*GMR/50))</f>
      </c>
      <c r="Q146" s="453">
        <f>'Mindest_EW Waffen'!D35</f>
        <v>18</v>
      </c>
      <c r="R146" s="452">
        <f>IF(ISBLANK(EWAbz),"",MIN(Q146,Q146-EWAbz+MAX(AkinR+E122,0)))</f>
      </c>
      <c r="S146" s="209"/>
      <c r="T146" s="147" t="s">
        <v>442</v>
      </c>
      <c r="U146" s="137"/>
      <c r="V146" s="301"/>
      <c r="W146" s="139"/>
      <c r="X146" s="497"/>
      <c r="Y146" s="498"/>
      <c r="Z146"/>
      <c r="AA146"/>
      <c r="AB146"/>
      <c r="AC146"/>
      <c r="AD146"/>
      <c r="AE146"/>
      <c r="AF146"/>
      <c r="AG146"/>
      <c r="AH146"/>
      <c r="AI146" s="166"/>
      <c r="AJ146" s="139"/>
      <c r="AK146" s="322"/>
      <c r="AN146" s="146">
        <f>IF(LEFT(D146,1)="A",Y146,0)</f>
        <v>0</v>
      </c>
      <c r="AO146" s="146">
        <f>IF(LEFT(D146,1)="K",Y146,0)</f>
        <v>0</v>
      </c>
      <c r="AP146" s="146">
        <f>IF(LEFT(D146,1)="M",Y146,0)</f>
        <v>0</v>
      </c>
      <c r="AQ146" s="289"/>
      <c r="AR146" s="146"/>
      <c r="AS146" s="146"/>
      <c r="AT146" s="146"/>
      <c r="IU146"/>
      <c r="IV146"/>
    </row>
    <row r="147" spans="1:256" s="267" customFormat="1" ht="9.75" customHeight="1">
      <c r="A147" s="147" t="s">
        <v>443</v>
      </c>
      <c r="B147" s="148"/>
      <c r="C147" s="133"/>
      <c r="D147" s="134" t="s">
        <v>386</v>
      </c>
      <c r="E147" s="150" t="s">
        <v>433</v>
      </c>
      <c r="F147" s="150">
        <v>74</v>
      </c>
      <c r="G147" s="135">
        <f>(3*Ges+Krr___0+Int)/5</f>
        <v>75</v>
      </c>
      <c r="H147" s="135">
        <f>IF(G147&lt;50,450-6*G147,IF(G147&lt;100,250-2*G147,75-G147/4))</f>
        <v>100</v>
      </c>
      <c r="I147" s="136">
        <f>H147*F147/100</f>
        <v>74</v>
      </c>
      <c r="J147" s="131" t="s">
        <v>444</v>
      </c>
      <c r="K147" s="132"/>
      <c r="L147" s="455"/>
      <c r="M147" s="499">
        <f>ROUND(10+(Kr___0+Ges)/10,0)</f>
        <v>25</v>
      </c>
      <c r="N147" s="500" t="s">
        <v>445</v>
      </c>
      <c r="O147" s="451"/>
      <c r="P147" s="494"/>
      <c r="Q147" s="501">
        <f>'Mindest_EW Waffen'!C37</f>
        <v>18</v>
      </c>
      <c r="R147" s="452">
        <f>IF(ISBLANK(EWAbz),"",MIN(Q147,Q147-EWAbz+MAX(AkinR+E124,0)))</f>
      </c>
      <c r="S147" s="209"/>
      <c r="T147" s="147" t="s">
        <v>446</v>
      </c>
      <c r="U147" s="137"/>
      <c r="V147" s="301"/>
      <c r="W147" s="139"/>
      <c r="X147" s="140">
        <f>IF(W147&gt;0,INDEX(lerntab___0,W147,1),0)</f>
        <v>0</v>
      </c>
      <c r="Y147" s="141">
        <f>ROUND(X147*I147,0)</f>
        <v>0</v>
      </c>
      <c r="Z147"/>
      <c r="AA147"/>
      <c r="AB147"/>
      <c r="AC147"/>
      <c r="AD147"/>
      <c r="AE147"/>
      <c r="AF147"/>
      <c r="AG147"/>
      <c r="AH147"/>
      <c r="AI147" s="166"/>
      <c r="AJ147" s="139"/>
      <c r="AK147" s="322"/>
      <c r="AN147" s="146">
        <f>IF(LEFT(D147,1)="A",Y147,0)</f>
        <v>0</v>
      </c>
      <c r="AO147" s="146">
        <f>IF(LEFT(D147,1)="K",Y147,0)</f>
        <v>0</v>
      </c>
      <c r="AP147" s="146">
        <f>IF(LEFT(D147,1)="M",Y147,0)</f>
        <v>0</v>
      </c>
      <c r="AQ147" s="289"/>
      <c r="AR147" s="146"/>
      <c r="AS147" s="146"/>
      <c r="AT147" s="146"/>
      <c r="IU147"/>
      <c r="IV147"/>
    </row>
    <row r="148" spans="1:256" s="267" customFormat="1" ht="9.75" customHeight="1">
      <c r="A148" s="147" t="s">
        <v>447</v>
      </c>
      <c r="B148" s="148"/>
      <c r="C148" s="133"/>
      <c r="D148" s="134" t="s">
        <v>153</v>
      </c>
      <c r="E148" s="150">
        <v>30</v>
      </c>
      <c r="F148" s="150">
        <v>150</v>
      </c>
      <c r="G148" s="135">
        <f>(4*Kom+Ges)/5</f>
        <v>75</v>
      </c>
      <c r="H148" s="135">
        <f>IF(G148&lt;50,450-6*G148,IF(G148&lt;100,250-2*G148,75-G148/4))</f>
        <v>100</v>
      </c>
      <c r="I148" s="136">
        <f>H148*F148/100</f>
        <v>150</v>
      </c>
      <c r="J148" s="131" t="s">
        <v>448</v>
      </c>
      <c r="K148" s="132"/>
      <c r="L148" s="455" t="s">
        <v>449</v>
      </c>
      <c r="M148" s="499">
        <f>M149-1</f>
        <v>8</v>
      </c>
      <c r="N148" s="502">
        <f>$M$147</f>
        <v>25</v>
      </c>
      <c r="O148" s="451">
        <f>ROUND(($M$147/4+15)*(1-Zb___0/50),2)</f>
        <v>21.25</v>
      </c>
      <c r="P148" s="452">
        <f>IF(ISBLANK(GMR),"",O148+GMR-(Zb___0*GMR/50))</f>
      </c>
      <c r="Q148" s="453">
        <f>'Mindest_EW Waffen'!D40</f>
        <v>18</v>
      </c>
      <c r="R148" s="452">
        <f>IF(ISBLANK(EWAbz),"",MIN(Q148,Q148-EWAbz+MAX(AkinR+E127,0)))</f>
      </c>
      <c r="S148" s="209"/>
      <c r="T148" s="187" t="s">
        <v>447</v>
      </c>
      <c r="U148" s="137"/>
      <c r="V148" s="301"/>
      <c r="W148" s="139"/>
      <c r="X148" s="140">
        <f>IF(W148&gt;0,INDEX(lerntab___0,W148,1),0)</f>
        <v>0</v>
      </c>
      <c r="Y148" s="141">
        <f>ROUND(X148*I148,0)</f>
        <v>0</v>
      </c>
      <c r="Z148" s="210"/>
      <c r="AA148" s="210"/>
      <c r="AB148" s="210"/>
      <c r="AC148" s="210"/>
      <c r="AD148" s="210"/>
      <c r="AE148" s="210"/>
      <c r="AF148" s="210"/>
      <c r="AG148" s="210"/>
      <c r="AI148" s="166"/>
      <c r="AJ148" s="139"/>
      <c r="AK148" s="322"/>
      <c r="AN148" s="146">
        <f>IF(LEFT(D148,1)="A",Y148,0)</f>
        <v>0</v>
      </c>
      <c r="AO148" s="146">
        <f>IF(LEFT(D148,1)="K",Y148,0)</f>
        <v>0</v>
      </c>
      <c r="AP148" s="146">
        <f>IF(LEFT(D148,1)="M",Y148,0)</f>
        <v>0</v>
      </c>
      <c r="AQ148" s="289"/>
      <c r="AR148" s="146"/>
      <c r="AS148" s="146"/>
      <c r="AT148" s="146"/>
      <c r="IU148"/>
      <c r="IV148"/>
    </row>
    <row r="149" spans="1:256" s="267" customFormat="1" ht="9.75" customHeight="1">
      <c r="A149" s="147" t="s">
        <v>450</v>
      </c>
      <c r="B149" s="148"/>
      <c r="C149" s="133"/>
      <c r="D149" s="170" t="s">
        <v>386</v>
      </c>
      <c r="E149" s="503" t="s">
        <v>426</v>
      </c>
      <c r="F149" s="504" t="s">
        <v>451</v>
      </c>
      <c r="G149" s="505"/>
      <c r="H149" s="505"/>
      <c r="I149" s="200"/>
      <c r="J149" s="131"/>
      <c r="K149" s="132"/>
      <c r="L149" s="455" t="s">
        <v>452</v>
      </c>
      <c r="M149" s="499">
        <f>M125</f>
        <v>9</v>
      </c>
      <c r="N149" s="506">
        <f>M149+8</f>
        <v>17</v>
      </c>
      <c r="O149" s="451">
        <f>ROUND((M149/2+8.5)*(1-Zb___0/50),2)</f>
        <v>13</v>
      </c>
      <c r="P149" s="452">
        <f>IF(ISBLANK(GMR),"",O149+GMR-(Zb___0*GMR/50))</f>
      </c>
      <c r="Q149" s="453">
        <f>Q125</f>
        <v>14</v>
      </c>
      <c r="R149" s="452">
        <f>R125</f>
      </c>
      <c r="S149" s="209"/>
      <c r="T149" s="187" t="s">
        <v>453</v>
      </c>
      <c r="U149" s="137"/>
      <c r="V149" s="301"/>
      <c r="W149" s="139"/>
      <c r="X149" s="496" t="s">
        <v>454</v>
      </c>
      <c r="Y149" s="183"/>
      <c r="Z149" s="210"/>
      <c r="AA149" s="210"/>
      <c r="AB149" s="210"/>
      <c r="AC149" s="210"/>
      <c r="AD149" s="210"/>
      <c r="AE149" s="210"/>
      <c r="AF149" s="210"/>
      <c r="AG149" s="210"/>
      <c r="AI149" s="166"/>
      <c r="AJ149" s="139"/>
      <c r="AK149" s="322"/>
      <c r="AN149" s="146">
        <f>IF(LEFT(D149,1)="A",Y149,0)</f>
        <v>0</v>
      </c>
      <c r="AO149" s="146">
        <f>IF(LEFT(D149,1)="K",Y149,0)</f>
        <v>0</v>
      </c>
      <c r="AP149" s="146">
        <f>IF(LEFT(D149,1)="M",Y149,0)</f>
        <v>0</v>
      </c>
      <c r="AQ149" s="289"/>
      <c r="AR149" s="146"/>
      <c r="AS149" s="146"/>
      <c r="AT149" s="146"/>
      <c r="IU149"/>
      <c r="IV149"/>
    </row>
    <row r="150" spans="1:256" s="267" customFormat="1" ht="9.75" customHeight="1">
      <c r="A150" s="147" t="s">
        <v>455</v>
      </c>
      <c r="B150" s="148"/>
      <c r="C150" s="133"/>
      <c r="D150" s="134" t="s">
        <v>456</v>
      </c>
      <c r="E150" s="150" t="s">
        <v>433</v>
      </c>
      <c r="F150" s="150">
        <v>35</v>
      </c>
      <c r="G150" s="135">
        <f>(3*Ges+2*Int)/5</f>
        <v>75</v>
      </c>
      <c r="H150" s="135">
        <f>IF(G150&lt;50,450-6*G150,IF(G150&lt;100,250-2*G150,75-G150/4))</f>
        <v>100</v>
      </c>
      <c r="I150" s="136">
        <f>H150*F150/100</f>
        <v>35</v>
      </c>
      <c r="J150" s="131" t="s">
        <v>457</v>
      </c>
      <c r="K150" s="132"/>
      <c r="L150" s="455" t="s">
        <v>449</v>
      </c>
      <c r="M150" s="499">
        <f>ROUND(Kr___0/7.25,0)</f>
        <v>10</v>
      </c>
      <c r="N150" s="502">
        <f>ROUND($M$147/2,0)</f>
        <v>13</v>
      </c>
      <c r="O150" s="451">
        <f>ROUND(($M$147/4+17)*(1-Zb___0/50),2)</f>
        <v>23.25</v>
      </c>
      <c r="P150" s="452">
        <f>IF(ISBLANK(GMR),"",O150+GMR-(Zb___0*GMR/50))</f>
      </c>
      <c r="Q150" s="453">
        <f>'Mindest_EW Waffen'!D38</f>
        <v>18</v>
      </c>
      <c r="R150" s="452">
        <f>IF(ISBLANK(EWAbz),"",MIN(Q150,Q150-EWAbz+MAX(AkinR+E125,0)))</f>
      </c>
      <c r="S150" s="209"/>
      <c r="T150" s="187" t="s">
        <v>458</v>
      </c>
      <c r="U150" s="137"/>
      <c r="V150" s="301"/>
      <c r="W150" s="139"/>
      <c r="X150" s="140">
        <f>IF(W150&gt;0,INDEX(lerntab___0,W150,1),0)</f>
        <v>0</v>
      </c>
      <c r="Y150" s="141">
        <f>ROUND(X150*I150,0)</f>
        <v>0</v>
      </c>
      <c r="Z150" s="210"/>
      <c r="AA150" s="210"/>
      <c r="AB150" s="210"/>
      <c r="AC150" s="210"/>
      <c r="AD150" s="210"/>
      <c r="AE150" s="210"/>
      <c r="AF150" s="210"/>
      <c r="AG150" s="210"/>
      <c r="AI150" s="166"/>
      <c r="AJ150" s="139"/>
      <c r="AK150" s="322"/>
      <c r="AN150" s="146">
        <f>IF(LEFT(D150,1)="A",Y150,0)</f>
        <v>0</v>
      </c>
      <c r="AO150" s="146">
        <f>IF(LEFT(D150,1)="K",Y150,0)</f>
        <v>0</v>
      </c>
      <c r="AP150" s="146">
        <f>IF(LEFT(D150,1)="M",Y150,0)</f>
        <v>0</v>
      </c>
      <c r="AQ150" s="289"/>
      <c r="AR150" s="146"/>
      <c r="AS150" s="146"/>
      <c r="AT150" s="146"/>
      <c r="IU150"/>
      <c r="IV150"/>
    </row>
    <row r="151" spans="1:256" s="267" customFormat="1" ht="9.75" customHeight="1">
      <c r="A151" s="126" t="s">
        <v>459</v>
      </c>
      <c r="B151" s="211"/>
      <c r="C151" s="182"/>
      <c r="D151" s="182"/>
      <c r="E151" s="212"/>
      <c r="F151" s="212"/>
      <c r="G151" s="199"/>
      <c r="H151" s="199"/>
      <c r="I151" s="200"/>
      <c r="J151" s="131"/>
      <c r="K151" s="132"/>
      <c r="L151" s="455" t="s">
        <v>452</v>
      </c>
      <c r="M151" s="499">
        <f>M150+1</f>
        <v>11</v>
      </c>
      <c r="N151" s="506">
        <f>M151+18</f>
        <v>29</v>
      </c>
      <c r="O151" s="451">
        <f>ROUND((M151/2+15)*(1-Zb___0/50),2)</f>
        <v>20.5</v>
      </c>
      <c r="P151" s="452">
        <f>IF(ISBLANK(GMR),"",O151+GMR-(Zb___0*GMR/50))</f>
      </c>
      <c r="Q151" s="453">
        <f>Q127</f>
        <v>14</v>
      </c>
      <c r="R151" s="452">
        <f>R127</f>
      </c>
      <c r="S151" s="209"/>
      <c r="T151" s="126" t="s">
        <v>459</v>
      </c>
      <c r="U151" s="211"/>
      <c r="V151" s="182"/>
      <c r="W151" s="181"/>
      <c r="X151" s="182"/>
      <c r="Y151" s="183"/>
      <c r="Z151" s="210"/>
      <c r="AA151" s="210"/>
      <c r="AB151" s="210"/>
      <c r="AC151" s="210"/>
      <c r="AD151" s="210"/>
      <c r="AE151" s="210"/>
      <c r="AF151" s="210"/>
      <c r="AG151" s="210"/>
      <c r="AI151" s="166"/>
      <c r="AJ151" s="139"/>
      <c r="AK151" s="322"/>
      <c r="AN151" s="146">
        <f>IF(LEFT(D151,1)="A",Y151,0)</f>
        <v>0</v>
      </c>
      <c r="AO151" s="146">
        <f>IF(LEFT(D151,1)="K",Y151,0)</f>
        <v>0</v>
      </c>
      <c r="AP151" s="146">
        <f>IF(LEFT(D151,1)="M",Y151,0)</f>
        <v>0</v>
      </c>
      <c r="AQ151" s="289"/>
      <c r="AR151" s="146"/>
      <c r="AS151" s="146"/>
      <c r="AT151" s="146"/>
      <c r="IU151"/>
      <c r="IV151"/>
    </row>
    <row r="152" spans="1:256" s="267" customFormat="1" ht="9.75" customHeight="1">
      <c r="A152" s="147" t="s">
        <v>460</v>
      </c>
      <c r="B152" s="148"/>
      <c r="C152" s="133"/>
      <c r="D152" s="134" t="s">
        <v>461</v>
      </c>
      <c r="E152" s="150">
        <v>-20</v>
      </c>
      <c r="F152" s="150">
        <v>50</v>
      </c>
      <c r="G152" s="151">
        <f>(3*Ges+2*Schn___0)/5</f>
        <v>75</v>
      </c>
      <c r="H152" s="135">
        <f>IF(G152&lt;50,450-6*G152,IF(G152&lt;100,250-2*G152,75-G152/4))</f>
        <v>100</v>
      </c>
      <c r="I152" s="136">
        <f>H152*F152/100</f>
        <v>50</v>
      </c>
      <c r="J152" s="131" t="s">
        <v>462</v>
      </c>
      <c r="K152" s="132"/>
      <c r="L152" s="455" t="s">
        <v>449</v>
      </c>
      <c r="M152" s="499">
        <f>ROUND(Kr___0/9,0)</f>
        <v>8</v>
      </c>
      <c r="N152" s="502">
        <f>ROUND($M$147/2,0)</f>
        <v>13</v>
      </c>
      <c r="O152" s="451">
        <f>ROUND(($M$147/4+17)*(1-Zb___0/50),2)</f>
        <v>23.25</v>
      </c>
      <c r="P152" s="452">
        <f>IF(ISBLANK(GMR),"",O152+GMR-(Zb___0*GMR/50))</f>
      </c>
      <c r="Q152" s="453">
        <f>Q150</f>
        <v>18</v>
      </c>
      <c r="R152" s="452">
        <f>R150</f>
      </c>
      <c r="S152" s="209"/>
      <c r="T152" s="147" t="s">
        <v>460</v>
      </c>
      <c r="U152" s="137"/>
      <c r="V152" s="301"/>
      <c r="W152" s="139"/>
      <c r="X152" s="140">
        <f>IF(W152&gt;0,INDEX(lerntab___0,W152,1),0)</f>
        <v>0</v>
      </c>
      <c r="Y152" s="141">
        <f>ROUND(X152*I152,0)</f>
        <v>0</v>
      </c>
      <c r="Z152" s="210"/>
      <c r="AA152" s="210"/>
      <c r="AB152" s="210"/>
      <c r="AC152" s="210"/>
      <c r="AD152" s="210"/>
      <c r="AE152" s="210"/>
      <c r="AF152" s="210"/>
      <c r="AG152" s="210"/>
      <c r="AI152" s="166"/>
      <c r="AJ152" s="139"/>
      <c r="AK152" s="322"/>
      <c r="AN152" s="146">
        <f>IF(LEFT(D152,1)="A",Y152,0)</f>
        <v>0</v>
      </c>
      <c r="AO152" s="146">
        <f>IF(LEFT(D152,1)="K",Y152,0)</f>
        <v>0</v>
      </c>
      <c r="AP152" s="146">
        <f>IF(LEFT(D152,1)="M",Y152,0)</f>
        <v>0</v>
      </c>
      <c r="AQ152" s="289"/>
      <c r="AR152" s="146"/>
      <c r="AS152" s="146"/>
      <c r="AT152" s="146"/>
      <c r="IU152"/>
      <c r="IV152"/>
    </row>
    <row r="153" spans="1:256" s="267" customFormat="1" ht="9.75" customHeight="1">
      <c r="A153" s="147" t="s">
        <v>463</v>
      </c>
      <c r="B153" s="148"/>
      <c r="C153" s="133"/>
      <c r="D153" s="134" t="s">
        <v>216</v>
      </c>
      <c r="E153" s="134" t="s">
        <v>97</v>
      </c>
      <c r="F153" s="150">
        <v>20</v>
      </c>
      <c r="G153" s="151">
        <f>(4*Ges+Kom)/5</f>
        <v>75</v>
      </c>
      <c r="H153" s="135">
        <f>IF(G153&lt;50,450-6*G153,IF(G153&lt;100,250-2*G153,75-G153/4))</f>
        <v>100</v>
      </c>
      <c r="I153" s="136">
        <f>H153*F153/100</f>
        <v>20</v>
      </c>
      <c r="J153" s="131"/>
      <c r="K153" s="132"/>
      <c r="L153" s="455" t="s">
        <v>452</v>
      </c>
      <c r="M153" s="499">
        <f>M152+1</f>
        <v>9</v>
      </c>
      <c r="N153" s="506">
        <f>M153+20</f>
        <v>29</v>
      </c>
      <c r="O153" s="451">
        <f>ROUND((M153/2+16)*(1-Zb___0/50),2)</f>
        <v>20.5</v>
      </c>
      <c r="P153" s="452">
        <f>IF(ISBLANK(GMR),"",O153+GMR-(Zb___0*GMR/50))</f>
      </c>
      <c r="Q153" s="453">
        <f>Q129</f>
        <v>14</v>
      </c>
      <c r="R153" s="452">
        <f>R129</f>
      </c>
      <c r="S153" s="209"/>
      <c r="T153" s="147" t="s">
        <v>463</v>
      </c>
      <c r="U153" s="137"/>
      <c r="V153" s="301"/>
      <c r="W153" s="139"/>
      <c r="X153" s="140">
        <f>IF(W153&gt;0,INDEX(lerntab___0,W153,1),0)</f>
        <v>0</v>
      </c>
      <c r="Y153" s="141">
        <f>ROUND(X153*I153,0)</f>
        <v>0</v>
      </c>
      <c r="Z153" s="210"/>
      <c r="AA153" s="210"/>
      <c r="AB153" s="210"/>
      <c r="AC153" s="210"/>
      <c r="AD153" s="210"/>
      <c r="AE153" s="210"/>
      <c r="AF153" s="210"/>
      <c r="AG153" s="210"/>
      <c r="AI153" s="166"/>
      <c r="AJ153" s="139"/>
      <c r="AK153" s="322"/>
      <c r="AN153" s="146">
        <f>IF(LEFT(D153,1)="A",Y153,0)</f>
        <v>0</v>
      </c>
      <c r="AO153" s="146">
        <f>IF(LEFT(D153,1)="K",Y153,0)</f>
        <v>0</v>
      </c>
      <c r="AP153" s="146">
        <f>IF(LEFT(D153,1)="M",Y153,0)</f>
        <v>0</v>
      </c>
      <c r="AQ153" s="289"/>
      <c r="AR153" s="146"/>
      <c r="AS153" s="146"/>
      <c r="AT153" s="146"/>
      <c r="IU153"/>
      <c r="IV153"/>
    </row>
    <row r="154" spans="1:256" s="267" customFormat="1" ht="9.75" customHeight="1">
      <c r="A154" s="147" t="s">
        <v>464</v>
      </c>
      <c r="B154" s="148"/>
      <c r="C154" s="133"/>
      <c r="D154" s="134" t="s">
        <v>58</v>
      </c>
      <c r="E154" s="150">
        <v>0</v>
      </c>
      <c r="F154" s="150">
        <v>15</v>
      </c>
      <c r="G154" s="151">
        <f>(4*Ges+Kom)/5</f>
        <v>75</v>
      </c>
      <c r="H154" s="135">
        <f>IF(G154&lt;50,450-6*G154,IF(G154&lt;100,250-2*G154,75-G154/4))</f>
        <v>100</v>
      </c>
      <c r="I154" s="136">
        <f>H154*F154/100</f>
        <v>15</v>
      </c>
      <c r="J154" s="131" t="s">
        <v>465</v>
      </c>
      <c r="K154" s="132"/>
      <c r="L154" s="455" t="s">
        <v>449</v>
      </c>
      <c r="M154" s="499">
        <f>ROUND(Kr___0/12,0)</f>
        <v>6</v>
      </c>
      <c r="N154" s="502">
        <f>ROUND(2*$M$147/3,0)</f>
        <v>17</v>
      </c>
      <c r="O154" s="451">
        <f>ROUND(($M$147/4+16)*(1-Zb___0/50),2)</f>
        <v>22.25</v>
      </c>
      <c r="P154" s="452">
        <f>IF(ISBLANK(GMR),"",O154+GMR-(Zb___0*GMR/50))</f>
      </c>
      <c r="Q154" s="453">
        <f>'Mindest_EW Waffen'!D39</f>
        <v>18</v>
      </c>
      <c r="R154" s="452">
        <f>IF(ISBLANK(EWAbz),"",MIN(Q154,Q154-EWAbz+MAX(AkinR+E126,0)))</f>
      </c>
      <c r="S154" s="209"/>
      <c r="T154" s="147" t="s">
        <v>464</v>
      </c>
      <c r="U154" s="137"/>
      <c r="V154" s="301"/>
      <c r="W154" s="139"/>
      <c r="X154" s="140">
        <f>IF(W154&gt;0,INDEX(lerntab___0,W154,1),0)</f>
        <v>0</v>
      </c>
      <c r="Y154" s="141">
        <f>ROUND(X154*I154,0)</f>
        <v>0</v>
      </c>
      <c r="Z154" s="210"/>
      <c r="AA154" s="210"/>
      <c r="AB154" s="210"/>
      <c r="AC154" s="210"/>
      <c r="AD154" s="210"/>
      <c r="AE154" s="210"/>
      <c r="AF154" s="210"/>
      <c r="AG154" s="210"/>
      <c r="AI154" s="166"/>
      <c r="AJ154" s="139"/>
      <c r="AK154" s="322"/>
      <c r="AN154" s="146">
        <f>IF(LEFT(D154,1)="A",Y154,0)</f>
        <v>0</v>
      </c>
      <c r="AO154" s="146">
        <f>IF(LEFT(D154,1)="K",Y154,0)</f>
        <v>0</v>
      </c>
      <c r="AP154" s="146">
        <f>IF(LEFT(D154,1)="M",Y154,0)</f>
        <v>0</v>
      </c>
      <c r="AQ154" s="289"/>
      <c r="AR154" s="146"/>
      <c r="AS154" s="146"/>
      <c r="AT154" s="146"/>
      <c r="IU154"/>
      <c r="IV154"/>
    </row>
    <row r="155" spans="1:256" s="267" customFormat="1" ht="9.75" customHeight="1">
      <c r="A155" s="147" t="s">
        <v>466</v>
      </c>
      <c r="B155" s="148"/>
      <c r="C155" s="133"/>
      <c r="D155" s="134" t="s">
        <v>216</v>
      </c>
      <c r="E155" s="134" t="s">
        <v>97</v>
      </c>
      <c r="F155" s="150">
        <v>30</v>
      </c>
      <c r="G155" s="151">
        <f>(2*Int+2*Ges+Kom)/5</f>
        <v>75</v>
      </c>
      <c r="H155" s="135">
        <f>IF(G155&lt;50,450-6*G155,IF(G155&lt;100,250-2*G155,75-G155/4))</f>
        <v>100</v>
      </c>
      <c r="I155" s="136">
        <f>H155*F155/100</f>
        <v>30</v>
      </c>
      <c r="J155" s="131"/>
      <c r="K155" s="132"/>
      <c r="L155" s="455" t="s">
        <v>452</v>
      </c>
      <c r="M155" s="499">
        <f>M154+1</f>
        <v>7</v>
      </c>
      <c r="N155" s="506">
        <f>M155+21</f>
        <v>28</v>
      </c>
      <c r="O155" s="451">
        <f>ROUND((M155/2+15)*(1-Zb___0/50),2)</f>
        <v>18.5</v>
      </c>
      <c r="P155" s="452">
        <f>IF(ISBLANK(GMR),"",O155+GMR-(Zb___0*GMR/50))</f>
      </c>
      <c r="Q155" s="453">
        <f>Q132</f>
        <v>14</v>
      </c>
      <c r="R155" s="452">
        <f>R132</f>
      </c>
      <c r="S155" s="209"/>
      <c r="T155" s="147" t="s">
        <v>466</v>
      </c>
      <c r="U155" s="137"/>
      <c r="V155" s="301"/>
      <c r="W155" s="139"/>
      <c r="X155" s="140">
        <f>IF(W155&gt;0,INDEX(lerntab___0,W155,1),0)</f>
        <v>0</v>
      </c>
      <c r="Y155" s="141">
        <f>ROUND(X155*I155,0)</f>
        <v>0</v>
      </c>
      <c r="Z155" s="210"/>
      <c r="AG155" s="210"/>
      <c r="AI155" s="166"/>
      <c r="AJ155" s="139"/>
      <c r="AK155" s="322"/>
      <c r="AN155" s="146">
        <f>IF(LEFT(D155,1)="A",Y155,0)</f>
        <v>0</v>
      </c>
      <c r="AO155" s="146">
        <f>IF(LEFT(D155,1)="K",Y155,0)</f>
        <v>0</v>
      </c>
      <c r="AP155" s="146">
        <f>IF(LEFT(D155,1)="M",Y155,0)</f>
        <v>0</v>
      </c>
      <c r="AQ155" s="289"/>
      <c r="AR155" s="146"/>
      <c r="AS155" s="146"/>
      <c r="AT155" s="146"/>
      <c r="IU155"/>
      <c r="IV155"/>
    </row>
    <row r="156" spans="1:256" s="267" customFormat="1" ht="9.75" customHeight="1">
      <c r="A156" s="147" t="s">
        <v>467</v>
      </c>
      <c r="B156" s="148"/>
      <c r="C156" s="133"/>
      <c r="D156" s="134" t="s">
        <v>58</v>
      </c>
      <c r="E156" s="150">
        <v>-15</v>
      </c>
      <c r="F156" s="150">
        <v>40</v>
      </c>
      <c r="G156" s="151">
        <f>(3*Schn___0+2*Ges)/5</f>
        <v>75</v>
      </c>
      <c r="H156" s="135">
        <f>IF(G156&lt;50,450-6*G156,IF(G156&lt;100,250-2*G156,75-G156/4))</f>
        <v>100</v>
      </c>
      <c r="I156" s="136">
        <f>H156*F156/100</f>
        <v>40</v>
      </c>
      <c r="J156" s="131" t="s">
        <v>468</v>
      </c>
      <c r="K156" s="132"/>
      <c r="L156" s="455" t="s">
        <v>469</v>
      </c>
      <c r="M156" s="456">
        <f>ROUND(2+Kr___0/20,0)</f>
        <v>6</v>
      </c>
      <c r="N156" s="450">
        <f>ROUND($M$147*1.25,0)</f>
        <v>31</v>
      </c>
      <c r="O156" s="451">
        <f>ROUND((($M$147/4+15)/2)*(1-Zb___0/50),2)</f>
        <v>10.63</v>
      </c>
      <c r="P156" s="452">
        <f>IF(ISBLANK(GMR),"",O156+GMR-(Zb___0*GMR/50))</f>
      </c>
      <c r="Q156" s="453">
        <f>'Mindest_EW Waffen'!D41</f>
        <v>18</v>
      </c>
      <c r="R156" s="452">
        <f>IF(ISBLANK(EWAbz),"",MIN(Q156,Q156-EWAbz+MAX(AkinR+E128,0)))</f>
      </c>
      <c r="S156" s="209"/>
      <c r="T156" s="147" t="s">
        <v>467</v>
      </c>
      <c r="U156" s="137"/>
      <c r="V156" s="301"/>
      <c r="W156" s="139"/>
      <c r="X156" s="140">
        <f>IF(W156&gt;0,INDEX(lerntab___0,W156,1),0)</f>
        <v>0</v>
      </c>
      <c r="Y156" s="141">
        <f>ROUND(X156*I156,0)</f>
        <v>0</v>
      </c>
      <c r="Z156" s="210"/>
      <c r="AG156" s="210"/>
      <c r="AI156" s="166"/>
      <c r="AJ156" s="139"/>
      <c r="AK156" s="322"/>
      <c r="AN156" s="146">
        <f>IF(LEFT(D156,1)="A",Y156,0)</f>
        <v>0</v>
      </c>
      <c r="AO156" s="146">
        <f>IF(LEFT(D156,1)="K",Y156,0)</f>
        <v>0</v>
      </c>
      <c r="AP156" s="146">
        <f>IF(LEFT(D156,1)="M",Y156,0)</f>
        <v>0</v>
      </c>
      <c r="AQ156" s="289"/>
      <c r="AR156" s="146"/>
      <c r="AS156" s="146"/>
      <c r="AT156" s="146"/>
      <c r="IU156"/>
      <c r="IV156"/>
    </row>
    <row r="157" spans="1:256" s="267" customFormat="1" ht="9.75" customHeight="1">
      <c r="A157" s="147" t="s">
        <v>470</v>
      </c>
      <c r="B157" s="148"/>
      <c r="C157" s="133"/>
      <c r="D157" s="134" t="s">
        <v>58</v>
      </c>
      <c r="E157" s="150">
        <v>40</v>
      </c>
      <c r="F157" s="150">
        <v>45</v>
      </c>
      <c r="G157" s="151">
        <f>(Mt___0+4*Kom)/5</f>
        <v>75</v>
      </c>
      <c r="H157" s="135">
        <f>IF(G157&lt;50,450-6*G157,IF(G157&lt;100,250-2*G157,75-G157/4))</f>
        <v>100</v>
      </c>
      <c r="I157" s="136">
        <f>H157*F157/100</f>
        <v>45</v>
      </c>
      <c r="J157" s="479" t="s">
        <v>471</v>
      </c>
      <c r="K157" s="132"/>
      <c r="L157" s="455"/>
      <c r="M157" s="148"/>
      <c r="N157" s="480"/>
      <c r="O157" s="481"/>
      <c r="P157" s="481"/>
      <c r="Q157" s="482"/>
      <c r="R157" s="328"/>
      <c r="S157" s="209"/>
      <c r="T157" s="147" t="s">
        <v>470</v>
      </c>
      <c r="U157" s="137"/>
      <c r="V157" s="301"/>
      <c r="W157" s="139"/>
      <c r="X157" s="140">
        <f>IF(W157&gt;0,INDEX(lerntab___0,W157,1),0)</f>
        <v>0</v>
      </c>
      <c r="Y157" s="141">
        <f>ROUND(X157*I157,0)</f>
        <v>0</v>
      </c>
      <c r="Z157" s="210"/>
      <c r="AG157" s="210"/>
      <c r="AI157" s="166"/>
      <c r="AJ157" s="139"/>
      <c r="AK157" s="322"/>
      <c r="AN157" s="146">
        <f>IF(LEFT(D157,1)="A",Y157,0)</f>
        <v>0</v>
      </c>
      <c r="AO157" s="146">
        <f>IF(LEFT(D157,1)="K",Y157,0)</f>
        <v>0</v>
      </c>
      <c r="AP157" s="146">
        <f>IF(LEFT(D157,1)="M",Y157,0)</f>
        <v>0</v>
      </c>
      <c r="AQ157" s="289"/>
      <c r="AR157" s="146"/>
      <c r="AS157" s="146"/>
      <c r="AT157" s="146"/>
      <c r="IU157"/>
      <c r="IV157"/>
    </row>
    <row r="158" spans="1:256" s="267" customFormat="1" ht="9.75" customHeight="1">
      <c r="A158" s="147" t="s">
        <v>472</v>
      </c>
      <c r="B158" s="148"/>
      <c r="C158" s="133"/>
      <c r="D158" s="134" t="s">
        <v>58</v>
      </c>
      <c r="E158" s="150">
        <v>0</v>
      </c>
      <c r="F158" s="150">
        <v>15</v>
      </c>
      <c r="G158" s="151">
        <f>(4*Ges+Int)/5</f>
        <v>75</v>
      </c>
      <c r="H158" s="135">
        <f>IF(G158&lt;50,450-6*G158,IF(G158&lt;100,250-2*G158,75-G158/4))</f>
        <v>100</v>
      </c>
      <c r="I158" s="136">
        <f>H158*F158/100</f>
        <v>15</v>
      </c>
      <c r="J158" s="131" t="s">
        <v>473</v>
      </c>
      <c r="K158" s="132"/>
      <c r="L158" s="455"/>
      <c r="M158" s="311">
        <f>ROUND(Kr___0/11,0)</f>
        <v>7</v>
      </c>
      <c r="N158" s="507" t="s">
        <v>474</v>
      </c>
      <c r="O158" s="451">
        <f>ROUND((M158/2+9)*(1-Zb___0/50),2)</f>
        <v>12.5</v>
      </c>
      <c r="P158" s="452">
        <f>IF(ISBLANK(GMR),"",O158+GMR-(Zb___0*GMR/50))</f>
      </c>
      <c r="Q158" s="453">
        <f>'Mindest_EW Waffen'!D7</f>
        <v>14</v>
      </c>
      <c r="R158" s="452">
        <f>IF(ISBLANK(EWAbz),"",MIN(Q158,Q158-EWAbz+MAX(AkinR+E94,0)))</f>
      </c>
      <c r="S158" s="209"/>
      <c r="T158" s="147" t="s">
        <v>472</v>
      </c>
      <c r="U158" s="137"/>
      <c r="V158" s="301"/>
      <c r="W158" s="139"/>
      <c r="X158" s="140">
        <f>IF(W158&gt;0,INDEX(lerntab___0,W158,1),0)</f>
        <v>0</v>
      </c>
      <c r="Y158" s="141">
        <f>ROUND(X158*I158,0)</f>
        <v>0</v>
      </c>
      <c r="Z158" s="210"/>
      <c r="AG158" s="210"/>
      <c r="AI158" s="166"/>
      <c r="AJ158" s="139"/>
      <c r="AK158" s="322"/>
      <c r="AN158" s="146">
        <f>IF(LEFT(D158,1)="A",Y158,0)</f>
        <v>0</v>
      </c>
      <c r="AO158" s="146">
        <f>IF(LEFT(D158,1)="K",Y158,0)</f>
        <v>0</v>
      </c>
      <c r="AP158" s="146">
        <f>IF(LEFT(D158,1)="M",Y158,0)</f>
        <v>0</v>
      </c>
      <c r="AQ158" s="289"/>
      <c r="AR158" s="146"/>
      <c r="AS158" s="146"/>
      <c r="AT158" s="146"/>
      <c r="IU158"/>
      <c r="IV158"/>
    </row>
    <row r="159" spans="1:256" s="267" customFormat="1" ht="9.75" customHeight="1">
      <c r="A159" s="147" t="s">
        <v>475</v>
      </c>
      <c r="B159" s="148"/>
      <c r="C159" s="133"/>
      <c r="D159" s="134" t="s">
        <v>216</v>
      </c>
      <c r="E159" s="134" t="s">
        <v>97</v>
      </c>
      <c r="F159" s="150">
        <v>30</v>
      </c>
      <c r="G159" s="151">
        <f>(2*Ges+Int+2*Kom)/5</f>
        <v>75</v>
      </c>
      <c r="H159" s="135">
        <f>IF(G159&lt;50,450-6*G159,IF(G159&lt;100,250-2*G159,75-G159/4))</f>
        <v>100</v>
      </c>
      <c r="I159" s="136">
        <f>H159*F159/100</f>
        <v>30</v>
      </c>
      <c r="J159" s="131" t="s">
        <v>476</v>
      </c>
      <c r="K159" s="132"/>
      <c r="L159" s="455"/>
      <c r="M159" s="311">
        <f>ROUND(Kr___0/6,0)</f>
        <v>13</v>
      </c>
      <c r="N159" s="507" t="s">
        <v>474</v>
      </c>
      <c r="O159" s="451">
        <f>ROUND((M159/2+9)*(1-Zb___0/50),2)</f>
        <v>15.5</v>
      </c>
      <c r="P159" s="452">
        <f>IF(ISBLANK(GMR),"",O159+GMR-(Zb___0*GMR/50))</f>
      </c>
      <c r="Q159" s="453">
        <f>'Mindest_EW Waffen'!D16</f>
        <v>25</v>
      </c>
      <c r="R159" s="452">
        <f>IF(ISBLANK(EWAbz),"",MIN(Q159,Q159-EWAbz+MAX(AkinR+E103,0)))</f>
      </c>
      <c r="S159" s="209"/>
      <c r="T159" s="147" t="s">
        <v>475</v>
      </c>
      <c r="U159" s="137"/>
      <c r="V159" s="301"/>
      <c r="W159" s="139"/>
      <c r="X159" s="140">
        <f>IF(W159&gt;0,INDEX(lerntab___0,W159,1),0)</f>
        <v>0</v>
      </c>
      <c r="Y159" s="141">
        <f>ROUND(X159*I159,0)</f>
        <v>0</v>
      </c>
      <c r="Z159" s="210"/>
      <c r="AG159" s="210"/>
      <c r="AI159" s="166"/>
      <c r="AJ159" s="139"/>
      <c r="AK159" s="322"/>
      <c r="AN159" s="146">
        <f>IF(LEFT(D159,1)="A",Y159,0)</f>
        <v>0</v>
      </c>
      <c r="AO159" s="146">
        <f>IF(LEFT(D159,1)="K",Y159,0)</f>
        <v>0</v>
      </c>
      <c r="AP159" s="146">
        <f>IF(LEFT(D159,1)="M",Y159,0)</f>
        <v>0</v>
      </c>
      <c r="AQ159" s="289"/>
      <c r="AR159" s="146"/>
      <c r="AS159" s="146"/>
      <c r="AT159" s="146"/>
      <c r="IU159"/>
      <c r="IV159"/>
    </row>
    <row r="160" spans="1:256" s="267" customFormat="1" ht="9.75" customHeight="1">
      <c r="A160" s="147" t="s">
        <v>477</v>
      </c>
      <c r="B160" s="148"/>
      <c r="C160" s="133"/>
      <c r="D160" s="134" t="s">
        <v>58</v>
      </c>
      <c r="E160" s="150">
        <v>-5</v>
      </c>
      <c r="F160" s="150">
        <v>21</v>
      </c>
      <c r="G160" s="151">
        <f>(3*Ges+2*Schn___0)/5</f>
        <v>75</v>
      </c>
      <c r="H160" s="135">
        <f>IF(G160&lt;50,450-6*G160,IF(G160&lt;100,250-2*G160,75-G160/4))</f>
        <v>100</v>
      </c>
      <c r="I160" s="136">
        <f>H160*F160/100</f>
        <v>21</v>
      </c>
      <c r="J160" s="131" t="s">
        <v>478</v>
      </c>
      <c r="K160" s="132"/>
      <c r="L160" s="455"/>
      <c r="M160" s="311">
        <f>ROUND(Kr___0/11,0)</f>
        <v>7</v>
      </c>
      <c r="N160" s="507" t="s">
        <v>474</v>
      </c>
      <c r="O160" s="451">
        <f>ROUND((M160/2+9)*(1-Zb___0/50),2)</f>
        <v>12.5</v>
      </c>
      <c r="P160" s="452">
        <f>IF(ISBLANK(GMR),"",O160+GMR-(Zb___0*GMR/50))</f>
      </c>
      <c r="Q160" s="453">
        <f>'Mindest_EW Waffen'!D26</f>
        <v>14</v>
      </c>
      <c r="R160" s="452">
        <f>IF(ISBLANK(EWAbz),"",MIN(Q160,Q160-EWAbz+MAX(AkinR+E113,0)))</f>
      </c>
      <c r="S160" s="209"/>
      <c r="T160" s="147" t="s">
        <v>477</v>
      </c>
      <c r="U160" s="137"/>
      <c r="V160" s="301"/>
      <c r="W160" s="139"/>
      <c r="X160" s="140">
        <f>IF(W160&gt;0,INDEX(lerntab___0,W160,1),0)</f>
        <v>0</v>
      </c>
      <c r="Y160" s="141">
        <f>ROUND(X160*I160,0)</f>
        <v>0</v>
      </c>
      <c r="Z160" s="210"/>
      <c r="AG160" s="210"/>
      <c r="AI160" s="166"/>
      <c r="AJ160" s="139"/>
      <c r="AK160" s="322"/>
      <c r="AN160" s="146">
        <f>IF(LEFT(D160,1)="A",Y160,0)</f>
        <v>0</v>
      </c>
      <c r="AO160" s="146">
        <f>IF(LEFT(D160,1)="K",Y160,0)</f>
        <v>0</v>
      </c>
      <c r="AP160" s="146">
        <f>IF(LEFT(D160,1)="M",Y160,0)</f>
        <v>0</v>
      </c>
      <c r="AQ160" s="289"/>
      <c r="AR160" s="146"/>
      <c r="AS160" s="146"/>
      <c r="AT160" s="146"/>
      <c r="IU160"/>
      <c r="IV160"/>
    </row>
    <row r="161" spans="1:256" s="267" customFormat="1" ht="9.75" customHeight="1">
      <c r="A161" s="167" t="s">
        <v>479</v>
      </c>
      <c r="B161" s="168"/>
      <c r="C161" s="133"/>
      <c r="D161" s="134" t="s">
        <v>58</v>
      </c>
      <c r="E161" s="150">
        <v>40</v>
      </c>
      <c r="F161" s="150">
        <v>25</v>
      </c>
      <c r="G161" s="151">
        <f>(Int+4*Kom)/5</f>
        <v>75</v>
      </c>
      <c r="H161" s="135">
        <f>IF(G161&lt;50,450-6*G161,IF(G161&lt;100,250-2*G161,75-G161/4))</f>
        <v>100</v>
      </c>
      <c r="I161" s="136">
        <f>H161*F161/100</f>
        <v>25</v>
      </c>
      <c r="J161" s="479" t="s">
        <v>480</v>
      </c>
      <c r="K161" s="132"/>
      <c r="L161" s="455"/>
      <c r="M161" s="148"/>
      <c r="N161" s="480"/>
      <c r="O161" s="481"/>
      <c r="P161" s="481"/>
      <c r="Q161" s="482"/>
      <c r="R161" s="328"/>
      <c r="S161" s="209"/>
      <c r="T161" s="167" t="s">
        <v>479</v>
      </c>
      <c r="U161" s="137"/>
      <c r="V161" s="301"/>
      <c r="W161" s="139"/>
      <c r="X161" s="140">
        <f>IF(W161&gt;0,INDEX(lerntab___0,W161,1),0)</f>
        <v>0</v>
      </c>
      <c r="Y161" s="141">
        <f>ROUND(X161*I161,0)</f>
        <v>0</v>
      </c>
      <c r="Z161" s="210"/>
      <c r="AG161" s="210"/>
      <c r="AI161" s="166"/>
      <c r="AJ161" s="139"/>
      <c r="AK161" s="322"/>
      <c r="AN161" s="146">
        <f>IF(LEFT(D161,1)="A",Y161,0)</f>
        <v>0</v>
      </c>
      <c r="AO161" s="146">
        <f>IF(LEFT(D161,1)="K",Y161,0)</f>
        <v>0</v>
      </c>
      <c r="AP161" s="146">
        <f>IF(LEFT(D161,1)="M",Y161,0)</f>
        <v>0</v>
      </c>
      <c r="AQ161" s="289"/>
      <c r="AR161" s="146"/>
      <c r="AS161" s="146"/>
      <c r="AT161" s="146"/>
      <c r="IU161"/>
      <c r="IV161"/>
    </row>
    <row r="162" spans="1:256" s="267" customFormat="1" ht="9.75" customHeight="1">
      <c r="A162" s="147" t="s">
        <v>481</v>
      </c>
      <c r="B162" s="148"/>
      <c r="C162" s="133"/>
      <c r="D162" s="134" t="s">
        <v>58</v>
      </c>
      <c r="E162" s="150">
        <v>40</v>
      </c>
      <c r="F162" s="150">
        <v>20</v>
      </c>
      <c r="G162" s="151">
        <f>(3*Int+2*Ges)/5</f>
        <v>75</v>
      </c>
      <c r="H162" s="135">
        <f>IF(G162&lt;50,450-6*G162,IF(G162&lt;100,250-2*G162,75-G162/4))</f>
        <v>100</v>
      </c>
      <c r="I162" s="136">
        <f>H162*F162/100</f>
        <v>20</v>
      </c>
      <c r="J162" s="131" t="s">
        <v>482</v>
      </c>
      <c r="K162" s="132"/>
      <c r="L162" s="455"/>
      <c r="M162" s="456">
        <f>ROUND(2+Kr___0/7.5,0)</f>
        <v>12</v>
      </c>
      <c r="N162" s="450">
        <v>50</v>
      </c>
      <c r="O162" s="451">
        <f>ROUND((M162/5+20)*(1-Zb___0/50),2)</f>
        <v>22.4</v>
      </c>
      <c r="P162" s="452">
        <f>IF(ISBLANK(GMR),"",O162+GMR-(Zb___0*GMR/50))</f>
      </c>
      <c r="Q162" s="453">
        <f>'Mindest_EW Waffen'!D48</f>
        <v>14</v>
      </c>
      <c r="R162" s="452">
        <f>IF(ISBLANK(EWAbz),"",MIN(Q162,Q162-EWAbz+MAX(AkinR+E135,0)))</f>
      </c>
      <c r="T162" s="147" t="s">
        <v>481</v>
      </c>
      <c r="U162" s="137"/>
      <c r="V162" s="301"/>
      <c r="W162" s="139"/>
      <c r="X162" s="140">
        <f>IF(W162&gt;0,INDEX(lerntab___0,W162,1),0)</f>
        <v>0</v>
      </c>
      <c r="Y162" s="141">
        <f>ROUND(X162*I162,0)</f>
        <v>0</v>
      </c>
      <c r="Z162" s="210"/>
      <c r="AG162" s="210"/>
      <c r="AI162" s="262"/>
      <c r="AJ162" s="263"/>
      <c r="AK162" s="508"/>
      <c r="AN162" s="146">
        <f>IF(LEFT(D162,1)="A",Y162,0)</f>
        <v>0</v>
      </c>
      <c r="AO162" s="146">
        <f>IF(LEFT(D162,1)="K",Y162,0)</f>
        <v>0</v>
      </c>
      <c r="AP162" s="146">
        <f>IF(LEFT(D162,1)="M",Y162,0)</f>
        <v>0</v>
      </c>
      <c r="AQ162" s="289"/>
      <c r="AR162" s="146"/>
      <c r="AS162" s="146"/>
      <c r="AT162" s="146"/>
      <c r="IU162"/>
      <c r="IV162"/>
    </row>
    <row r="163" spans="1:256" s="267" customFormat="1" ht="9.75" customHeight="1">
      <c r="A163" s="147" t="s">
        <v>483</v>
      </c>
      <c r="B163" s="148"/>
      <c r="C163" s="133"/>
      <c r="D163" s="134" t="s">
        <v>58</v>
      </c>
      <c r="E163" s="150">
        <v>20</v>
      </c>
      <c r="F163" s="150">
        <v>19</v>
      </c>
      <c r="G163" s="151">
        <f>(2*St___0+2*Kons+Ges)/5</f>
        <v>69</v>
      </c>
      <c r="H163" s="135">
        <f>IF(G163&lt;50,450-6*G163,IF(G163&lt;100,250-2*G163,75-G163/4))</f>
        <v>112</v>
      </c>
      <c r="I163" s="136">
        <f>H163*F163/100</f>
        <v>21.28</v>
      </c>
      <c r="J163" s="131" t="s">
        <v>484</v>
      </c>
      <c r="K163" s="132"/>
      <c r="L163" s="455"/>
      <c r="M163" s="456">
        <f>ROUND(2+Kr___0/7,0)</f>
        <v>13</v>
      </c>
      <c r="N163" s="450">
        <v>50</v>
      </c>
      <c r="O163" s="451">
        <f>ROUND((20)*(1-Zb___0/50),2)</f>
        <v>20</v>
      </c>
      <c r="P163" s="452">
        <f>IF(ISBLANK(GMR),"",O163+GMR-(Zb___0*GMR/50))</f>
      </c>
      <c r="Q163" s="453">
        <f>'Mindest_EW Waffen'!D44</f>
        <v>14</v>
      </c>
      <c r="R163" s="452">
        <f>IF(ISBLANK(EWAbz),"",MIN(Q163,Q163-EWAbz+MAX(AkinR+E131,0)))</f>
      </c>
      <c r="S163" s="155"/>
      <c r="T163" s="147" t="s">
        <v>483</v>
      </c>
      <c r="U163" s="137"/>
      <c r="V163" s="301"/>
      <c r="W163" s="139">
        <f>M111</f>
        <v>6</v>
      </c>
      <c r="X163" s="140">
        <f>IF(W163&gt;0,INDEX(lerntab___0,W163,1),0)</f>
        <v>6</v>
      </c>
      <c r="Y163" s="141">
        <f>ROUND(X163*I163,0)</f>
        <v>128</v>
      </c>
      <c r="Z163" s="210"/>
      <c r="AG163" s="210"/>
      <c r="AJ163" s="209"/>
      <c r="AN163" s="146">
        <f>IF(LEFT(D163,1)="A",Y163,0)</f>
        <v>128</v>
      </c>
      <c r="AO163" s="146">
        <f>IF(LEFT(D163,1)="K",Y163,0)</f>
        <v>0</v>
      </c>
      <c r="AP163" s="146">
        <f>IF(LEFT(D163,1)="M",Y163,0)</f>
        <v>0</v>
      </c>
      <c r="AQ163" s="289"/>
      <c r="AR163" s="146"/>
      <c r="AS163" s="146"/>
      <c r="AT163" s="146"/>
      <c r="IU163"/>
      <c r="IV163"/>
    </row>
    <row r="164" spans="1:256" s="272" customFormat="1" ht="9.75" customHeight="1">
      <c r="A164" s="147" t="s">
        <v>485</v>
      </c>
      <c r="B164" s="148"/>
      <c r="C164" s="133"/>
      <c r="D164" s="134" t="s">
        <v>58</v>
      </c>
      <c r="E164" s="150">
        <v>-5</v>
      </c>
      <c r="F164" s="150">
        <v>10</v>
      </c>
      <c r="G164" s="151">
        <f>(3*Ges+2*Schn___0)/5</f>
        <v>75</v>
      </c>
      <c r="H164" s="135">
        <f>IF(G164&lt;50,450-6*G164,IF(G164&lt;100,250-2*G164,75-G164/4))</f>
        <v>100</v>
      </c>
      <c r="I164" s="136">
        <f>H164*F164/100</f>
        <v>10</v>
      </c>
      <c r="J164" s="131" t="s">
        <v>486</v>
      </c>
      <c r="K164" s="132"/>
      <c r="L164" s="455"/>
      <c r="M164" s="456">
        <f>ROUND(2+Kr___0/4,0)</f>
        <v>21</v>
      </c>
      <c r="N164" s="450">
        <v>50</v>
      </c>
      <c r="O164" s="451">
        <f>ROUND((20)*(1-Zb___0/50),2)</f>
        <v>20</v>
      </c>
      <c r="P164" s="452">
        <f>IF(ISBLANK(GMR),"",O164+GMR-(Zb___0*GMR/50))</f>
      </c>
      <c r="Q164" s="453">
        <f>Q163</f>
        <v>14</v>
      </c>
      <c r="R164" s="452">
        <f>R163</f>
      </c>
      <c r="S164" s="78"/>
      <c r="T164" s="147" t="s">
        <v>485</v>
      </c>
      <c r="U164" s="137"/>
      <c r="V164" s="301"/>
      <c r="W164" s="139"/>
      <c r="X164" s="140">
        <f>IF(W164&gt;0,INDEX(lerntab___0,W164,1),0)</f>
        <v>0</v>
      </c>
      <c r="Y164" s="141">
        <f>ROUND(X164*I164,0)</f>
        <v>0</v>
      </c>
      <c r="Z164" s="210"/>
      <c r="AA164" s="267"/>
      <c r="AB164" s="267"/>
      <c r="AC164" s="267"/>
      <c r="AD164" s="267"/>
      <c r="AE164" s="267"/>
      <c r="AF164" s="267"/>
      <c r="AG164" s="210"/>
      <c r="AH164" s="267"/>
      <c r="AI164" s="267"/>
      <c r="AJ164" s="209"/>
      <c r="AK164" s="267"/>
      <c r="AL164" s="267"/>
      <c r="AM164" s="267"/>
      <c r="AN164" s="146">
        <f>IF(LEFT(D164,1)="A",Y164,0)</f>
        <v>0</v>
      </c>
      <c r="AO164" s="146">
        <f>IF(LEFT(D164,1)="K",Y164,0)</f>
        <v>0</v>
      </c>
      <c r="AP164" s="146">
        <f>IF(LEFT(D164,1)="M",Y164,0)</f>
        <v>0</v>
      </c>
      <c r="AQ164" s="289"/>
      <c r="AR164" s="146"/>
      <c r="AS164" s="146"/>
      <c r="AT164" s="146"/>
      <c r="IU164"/>
      <c r="IV164"/>
    </row>
    <row r="165" spans="1:256" s="272" customFormat="1" ht="9.75" customHeight="1">
      <c r="A165" s="509" t="s">
        <v>487</v>
      </c>
      <c r="B165" s="510"/>
      <c r="C165" s="511"/>
      <c r="D165" s="134" t="s">
        <v>75</v>
      </c>
      <c r="E165" s="512">
        <v>-5</v>
      </c>
      <c r="F165" s="512">
        <v>4</v>
      </c>
      <c r="G165" s="513">
        <f>(2*Sym___0+Au+2*Int)/5</f>
        <v>59.6</v>
      </c>
      <c r="H165" s="514">
        <f>IF(G165&lt;50,450-6*G165,IF(G165&lt;100,250-2*G165,75-G165/4))</f>
        <v>130.8</v>
      </c>
      <c r="I165" s="515">
        <f>H165*F165/100</f>
        <v>5.232</v>
      </c>
      <c r="J165" s="131" t="s">
        <v>410</v>
      </c>
      <c r="K165" s="132"/>
      <c r="L165" s="455"/>
      <c r="M165" s="456">
        <f>ROUND(3.5+Kr___0/11,0)</f>
        <v>10</v>
      </c>
      <c r="N165" s="450">
        <v>13</v>
      </c>
      <c r="O165" s="451">
        <f>ROUND((55)*(1-Zb___0/50),2)</f>
        <v>55</v>
      </c>
      <c r="P165" s="452">
        <f>IF(ISBLANK(GMR),"",O165+GMR-(Zb___0*GMR/50))</f>
      </c>
      <c r="Q165" s="501">
        <f>'Mindest_EW Waffen'!D49</f>
        <v>14</v>
      </c>
      <c r="R165" s="452">
        <f>IF(ISBLANK(EWAbz),"",MIN(Q165,Q165-EWAbz+MAX(AkinR+E136,0)))</f>
      </c>
      <c r="S165" s="78"/>
      <c r="T165" s="509" t="s">
        <v>487</v>
      </c>
      <c r="U165" s="354"/>
      <c r="V165" s="355"/>
      <c r="W165" s="263"/>
      <c r="X165" s="356">
        <f>IF(W165&gt;0,INDEX(lerntab___0,W165,1),0)</f>
        <v>0</v>
      </c>
      <c r="Y165" s="357">
        <f>ROUND(X165*I165,0)</f>
        <v>0</v>
      </c>
      <c r="Z165" s="210"/>
      <c r="AA165" s="267"/>
      <c r="AB165" s="267"/>
      <c r="AC165" s="267"/>
      <c r="AD165" s="267"/>
      <c r="AE165" s="267"/>
      <c r="AF165" s="267"/>
      <c r="AG165" s="210"/>
      <c r="AH165" s="267"/>
      <c r="AI165" s="267"/>
      <c r="AJ165" s="209"/>
      <c r="AK165" s="267"/>
      <c r="AL165" s="267"/>
      <c r="AM165" s="267"/>
      <c r="AN165" s="146">
        <f>IF(LEFT(D165,1)="A",Y165,0)</f>
        <v>0</v>
      </c>
      <c r="AO165" s="146">
        <f>IF(LEFT(D165,1)="K",Y165,0)</f>
        <v>0</v>
      </c>
      <c r="AP165" s="146">
        <f>IF(LEFT(D165,1)="M",Y165,0)</f>
        <v>0</v>
      </c>
      <c r="AQ165" s="289"/>
      <c r="AR165" s="146"/>
      <c r="AS165" s="146"/>
      <c r="AT165" s="146"/>
      <c r="IU165"/>
      <c r="IV165"/>
    </row>
    <row r="166" spans="1:256" s="272" customFormat="1" ht="9.75" customHeight="1">
      <c r="A166" s="516" t="s">
        <v>266</v>
      </c>
      <c r="B166" s="517"/>
      <c r="C166" s="517"/>
      <c r="D166" s="286" t="s">
        <v>44</v>
      </c>
      <c r="E166" s="518" t="s">
        <v>266</v>
      </c>
      <c r="F166" s="519"/>
      <c r="G166" s="520"/>
      <c r="H166" s="520"/>
      <c r="I166" s="286" t="s">
        <v>44</v>
      </c>
      <c r="J166" s="310" t="s">
        <v>488</v>
      </c>
      <c r="K166" s="132"/>
      <c r="L166" s="455" t="s">
        <v>489</v>
      </c>
      <c r="M166" s="456">
        <f>ROUND(5+(Kr___0+Kons)/10,0)</f>
        <v>20</v>
      </c>
      <c r="N166" s="521"/>
      <c r="O166" s="451">
        <f>ROUND(18*(1-Zb___0/50),2)</f>
        <v>18</v>
      </c>
      <c r="P166" s="452">
        <f>IF(ISBLANK(GMR),"",O166+GMR-(Zb___0*GMR/50))</f>
      </c>
      <c r="Q166" s="501">
        <f>'Mindest_EW Waffen'!D46</f>
        <v>14</v>
      </c>
      <c r="R166" s="452">
        <f>IF(ISBLANK(EWAbz),"",MIN(Q166,Q166-EWAbz+MAX(AkinR+E132,0)))</f>
      </c>
      <c r="S166" s="78"/>
      <c r="T166" s="155"/>
      <c r="U166" s="155"/>
      <c r="V166" s="155"/>
      <c r="W166" s="155"/>
      <c r="X166" s="155"/>
      <c r="Y166" s="155"/>
      <c r="Z166" s="210"/>
      <c r="AA166" s="267"/>
      <c r="AB166" s="267"/>
      <c r="AC166" s="267"/>
      <c r="AD166" s="267"/>
      <c r="AE166" s="267"/>
      <c r="AF166" s="267"/>
      <c r="AG166" s="210"/>
      <c r="AH166" s="267"/>
      <c r="AJ166" s="265"/>
      <c r="AN166" s="146">
        <f>IF(LEFT(D166,1)="A",Y166,0)</f>
        <v>0</v>
      </c>
      <c r="AO166" s="146">
        <f>IF(LEFT(D166,1)="K",Y166,0)</f>
        <v>0</v>
      </c>
      <c r="AP166" s="146">
        <f>IF(LEFT(D166,1)="M",Y166,0)</f>
        <v>0</v>
      </c>
      <c r="AQ166" s="289"/>
      <c r="AR166" s="146"/>
      <c r="AS166" s="146"/>
      <c r="AT166" s="146"/>
      <c r="IU166"/>
      <c r="IV166"/>
    </row>
    <row r="167" spans="1:256" s="272" customFormat="1" ht="9.75" customHeight="1">
      <c r="A167" s="294" t="s">
        <v>490</v>
      </c>
      <c r="B167" s="295"/>
      <c r="C167" s="295"/>
      <c r="D167" s="293">
        <v>800</v>
      </c>
      <c r="E167" s="294" t="s">
        <v>491</v>
      </c>
      <c r="F167" s="236"/>
      <c r="G167" s="236"/>
      <c r="H167" s="522"/>
      <c r="I167" s="293">
        <v>550</v>
      </c>
      <c r="J167" s="479" t="s">
        <v>492</v>
      </c>
      <c r="K167" s="132"/>
      <c r="L167" s="455"/>
      <c r="M167" s="132"/>
      <c r="N167" s="480"/>
      <c r="O167" s="481"/>
      <c r="P167" s="481"/>
      <c r="Q167" s="482"/>
      <c r="R167" s="328"/>
      <c r="S167" s="78"/>
      <c r="T167" s="155"/>
      <c r="U167" s="155"/>
      <c r="V167" s="155"/>
      <c r="W167" s="155"/>
      <c r="X167" s="155"/>
      <c r="Y167" s="155"/>
      <c r="Z167" s="210"/>
      <c r="AA167" s="267"/>
      <c r="AB167" s="267"/>
      <c r="AC167" s="267"/>
      <c r="AD167" s="267"/>
      <c r="AE167" s="267"/>
      <c r="AF167" s="267"/>
      <c r="AG167" s="210"/>
      <c r="AH167" s="267"/>
      <c r="AJ167" s="265"/>
      <c r="AN167" s="146">
        <f>IF(LEFT(D167,1)="A",Y167,0)</f>
        <v>0</v>
      </c>
      <c r="AO167" s="146">
        <f>IF(LEFT(D167,1)="K",Y167,0)</f>
        <v>0</v>
      </c>
      <c r="AP167" s="146">
        <f>IF(LEFT(D167,1)="M",Y167,0)</f>
        <v>0</v>
      </c>
      <c r="AQ167" s="289"/>
      <c r="AR167" s="146"/>
      <c r="AS167" s="146"/>
      <c r="AT167" s="146"/>
      <c r="IU167"/>
      <c r="IV167"/>
    </row>
    <row r="168" spans="1:256" s="272" customFormat="1" ht="9.75" customHeight="1">
      <c r="A168" s="294" t="s">
        <v>493</v>
      </c>
      <c r="B168" s="295"/>
      <c r="C168" s="295"/>
      <c r="D168" s="293">
        <v>500</v>
      </c>
      <c r="E168" s="291" t="s">
        <v>494</v>
      </c>
      <c r="F168" s="522"/>
      <c r="G168" s="522"/>
      <c r="H168" s="522"/>
      <c r="I168" s="293">
        <v>50</v>
      </c>
      <c r="J168" s="310" t="s">
        <v>495</v>
      </c>
      <c r="K168" s="132"/>
      <c r="L168" s="455"/>
      <c r="M168" s="456">
        <f>ROUND(7+Kr___0/7,0)</f>
        <v>18</v>
      </c>
      <c r="N168" s="450">
        <v>55</v>
      </c>
      <c r="O168" s="523"/>
      <c r="P168" s="524"/>
      <c r="Q168" s="453">
        <f>'Mindest_EW Waffen'!D51</f>
        <v>0</v>
      </c>
      <c r="R168" s="452">
        <f>IF(ISBLANK(EWAbz),"",MIN(Q168,Q168-EWAbz+MAX(AkinR+E138,0)))</f>
      </c>
      <c r="S168" s="78"/>
      <c r="T168" s="155"/>
      <c r="U168" s="155"/>
      <c r="V168" s="155"/>
      <c r="W168" s="155"/>
      <c r="X168" s="155"/>
      <c r="Y168" s="155"/>
      <c r="Z168" s="210"/>
      <c r="AA168" s="267"/>
      <c r="AB168" s="267"/>
      <c r="AC168" s="267"/>
      <c r="AD168" s="267"/>
      <c r="AE168" s="267"/>
      <c r="AF168" s="267"/>
      <c r="AG168" s="210"/>
      <c r="AH168" s="267"/>
      <c r="AJ168" s="265"/>
      <c r="AN168" s="146">
        <f>IF(LEFT(D168,1)="A",Y168,0)</f>
        <v>0</v>
      </c>
      <c r="AO168" s="146">
        <f>IF(LEFT(D168,1)="K",Y168,0)</f>
        <v>0</v>
      </c>
      <c r="AP168" s="146">
        <f>IF(LEFT(D168,1)="M",Y168,0)</f>
        <v>0</v>
      </c>
      <c r="AQ168" s="289"/>
      <c r="AR168" s="146"/>
      <c r="AS168" s="146"/>
      <c r="AT168" s="146"/>
      <c r="IU168"/>
      <c r="IV168"/>
    </row>
    <row r="169" spans="1:256" s="272" customFormat="1" ht="9.75" customHeight="1">
      <c r="A169" s="294" t="s">
        <v>496</v>
      </c>
      <c r="B169" s="295"/>
      <c r="C169" s="295"/>
      <c r="D169" s="293">
        <v>400</v>
      </c>
      <c r="E169" s="291" t="s">
        <v>497</v>
      </c>
      <c r="F169" s="236"/>
      <c r="G169" s="236"/>
      <c r="H169" s="522"/>
      <c r="I169" s="293">
        <v>500</v>
      </c>
      <c r="J169" s="310"/>
      <c r="K169" s="132"/>
      <c r="L169" s="455" t="s">
        <v>498</v>
      </c>
      <c r="M169" s="456">
        <f>ROUND(1.5+Kr___0/12.5,0)</f>
        <v>8</v>
      </c>
      <c r="N169" s="450"/>
      <c r="O169" s="451">
        <f>ROUND((M168/2+20)*(1-Zb___0/50),2)</f>
        <v>29</v>
      </c>
      <c r="P169" s="452">
        <f>IF(ISBLANK(GMR),"",O169+GMR-(Zb___0*GMR/50))</f>
      </c>
      <c r="Q169" s="453">
        <f>'Mindest_EW Waffen'!D52</f>
        <v>14</v>
      </c>
      <c r="R169" s="452">
        <f>IF(ISBLANK(EWAbz),"",MIN(Q169,Q169-EWAbz+MAX(AkinR+E138,0)))</f>
      </c>
      <c r="S169" s="78"/>
      <c r="T169" s="155"/>
      <c r="U169" s="155"/>
      <c r="V169" s="155"/>
      <c r="W169" s="155"/>
      <c r="X169" s="155"/>
      <c r="Y169" s="155"/>
      <c r="Z169" s="210"/>
      <c r="AA169" s="267"/>
      <c r="AB169" s="267"/>
      <c r="AC169" s="267"/>
      <c r="AD169" s="267"/>
      <c r="AE169" s="267"/>
      <c r="AF169" s="267"/>
      <c r="AG169" s="210"/>
      <c r="AH169" s="267"/>
      <c r="AJ169" s="265"/>
      <c r="AN169" s="146">
        <f>IF(LEFT(D169,1)="A",Y169,0)</f>
        <v>0</v>
      </c>
      <c r="AO169" s="146">
        <f>IF(LEFT(D169,1)="K",Y169,0)</f>
        <v>0</v>
      </c>
      <c r="AP169" s="146">
        <f>IF(LEFT(D169,1)="M",Y169,0)</f>
        <v>0</v>
      </c>
      <c r="AQ169" s="289"/>
      <c r="AR169" s="146"/>
      <c r="AS169" s="146"/>
      <c r="AT169" s="146"/>
      <c r="IU169"/>
      <c r="IV169"/>
    </row>
    <row r="170" spans="1:256" s="272" customFormat="1" ht="9.75" customHeight="1">
      <c r="A170" s="294" t="s">
        <v>499</v>
      </c>
      <c r="B170" s="295"/>
      <c r="C170" s="295"/>
      <c r="D170" s="293">
        <v>500</v>
      </c>
      <c r="E170" s="291" t="s">
        <v>500</v>
      </c>
      <c r="F170" s="522"/>
      <c r="G170" s="522"/>
      <c r="H170" s="522"/>
      <c r="I170" s="293">
        <v>500</v>
      </c>
      <c r="J170" s="310" t="s">
        <v>501</v>
      </c>
      <c r="K170" s="132"/>
      <c r="L170" s="455"/>
      <c r="M170" s="456">
        <f>ROUND(7+Kr___0/6.5,0)</f>
        <v>19</v>
      </c>
      <c r="N170" s="450">
        <v>55</v>
      </c>
      <c r="O170" s="525" t="s">
        <v>502</v>
      </c>
      <c r="P170" s="526"/>
      <c r="Q170" s="453">
        <f>'Mindest_EW Waffen'!D53</f>
        <v>0</v>
      </c>
      <c r="R170" s="452">
        <f>IF(ISBLANK(EWAbz),"",MIN(Q170,Q170-EWAbz+MAX(AkinR+E139,0)))</f>
      </c>
      <c r="S170" s="78"/>
      <c r="T170" s="155"/>
      <c r="U170" s="155"/>
      <c r="V170" s="155"/>
      <c r="W170" s="155"/>
      <c r="X170" s="155"/>
      <c r="Y170" s="155"/>
      <c r="Z170" s="267"/>
      <c r="AA170" s="267"/>
      <c r="AB170" s="267"/>
      <c r="AC170" s="267"/>
      <c r="AD170" s="267"/>
      <c r="AE170" s="267"/>
      <c r="AF170" s="267"/>
      <c r="AG170" s="210"/>
      <c r="AH170" s="267"/>
      <c r="AJ170" s="265"/>
      <c r="AN170" s="146">
        <f>IF(LEFT(D170,1)="A",Y170,0)</f>
        <v>0</v>
      </c>
      <c r="AO170" s="146">
        <f>IF(LEFT(D170,1)="K",Y170,0)</f>
        <v>0</v>
      </c>
      <c r="AP170" s="146">
        <f>IF(LEFT(D170,1)="M",Y170,0)</f>
        <v>0</v>
      </c>
      <c r="AQ170" s="289"/>
      <c r="AR170" s="146"/>
      <c r="AS170" s="146"/>
      <c r="AT170" s="146"/>
      <c r="IU170"/>
      <c r="IV170"/>
    </row>
    <row r="171" spans="1:256" s="272" customFormat="1" ht="9.75" customHeight="1">
      <c r="A171" s="300" t="s">
        <v>503</v>
      </c>
      <c r="B171" s="527"/>
      <c r="C171" s="527"/>
      <c r="D171" s="299">
        <v>550</v>
      </c>
      <c r="E171" s="296" t="s">
        <v>504</v>
      </c>
      <c r="F171" s="254"/>
      <c r="G171" s="254"/>
      <c r="H171" s="260"/>
      <c r="I171" s="299">
        <v>400</v>
      </c>
      <c r="J171" s="528" t="s">
        <v>505</v>
      </c>
      <c r="K171" s="529"/>
      <c r="L171" s="530"/>
      <c r="M171" s="531">
        <f>ROUND(11+Kr___0/4,0)</f>
        <v>30</v>
      </c>
      <c r="N171" s="532">
        <v>55</v>
      </c>
      <c r="O171" s="533">
        <f>ROUND(9+Kr___0/5.5,0)</f>
        <v>23</v>
      </c>
      <c r="P171" s="534"/>
      <c r="Q171" s="535">
        <f>'Mindest_EW Waffen'!D55</f>
        <v>0</v>
      </c>
      <c r="R171" s="536">
        <f>IF(ISBLANK(EWAbz),"",MIN(Q171,Q171-EWAbz+MAX(AkinR+E141,0)))</f>
      </c>
      <c r="S171" s="78"/>
      <c r="T171" s="155"/>
      <c r="U171" s="155"/>
      <c r="V171" s="155"/>
      <c r="W171" s="155"/>
      <c r="X171" s="155"/>
      <c r="Y171" s="155"/>
      <c r="Z171" s="267"/>
      <c r="AA171" s="267"/>
      <c r="AB171" s="267"/>
      <c r="AC171" s="267"/>
      <c r="AD171" s="267"/>
      <c r="AE171" s="267"/>
      <c r="AF171" s="267"/>
      <c r="AG171" s="210"/>
      <c r="AH171" s="267"/>
      <c r="AJ171" s="265"/>
      <c r="AN171" s="146">
        <f>IF(LEFT(D171,1)="A",Y171,0)</f>
        <v>0</v>
      </c>
      <c r="AO171" s="146">
        <f>IF(LEFT(D171,1)="K",Y171,0)</f>
        <v>0</v>
      </c>
      <c r="AP171" s="146">
        <f>IF(LEFT(D171,1)="M",Y171,0)</f>
        <v>0</v>
      </c>
      <c r="AQ171" s="289"/>
      <c r="AR171" s="146"/>
      <c r="AS171" s="146"/>
      <c r="AT171" s="146"/>
      <c r="IU171"/>
      <c r="IV171"/>
    </row>
    <row r="172" spans="1:256" s="272" customFormat="1" ht="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 s="78"/>
      <c r="T172" s="155"/>
      <c r="U172" s="155"/>
      <c r="V172" s="155"/>
      <c r="W172" s="155"/>
      <c r="X172" s="155"/>
      <c r="Y172" s="155"/>
      <c r="Z172" s="267"/>
      <c r="AA172" s="267"/>
      <c r="AB172" s="267"/>
      <c r="AC172" s="267"/>
      <c r="AD172" s="267"/>
      <c r="AE172" s="267"/>
      <c r="AF172" s="267"/>
      <c r="AG172" s="210"/>
      <c r="AH172" s="267"/>
      <c r="AJ172" s="265"/>
      <c r="AN172" s="146">
        <f>IF(LEFT(D172,1)="A",Y172,0)</f>
        <v>0</v>
      </c>
      <c r="AO172" s="146">
        <f>IF(LEFT(D172,1)="K",Y172,0)</f>
        <v>0</v>
      </c>
      <c r="AP172" s="146">
        <f>IF(LEFT(D172,1)="M",Y172,0)</f>
        <v>0</v>
      </c>
      <c r="AQ172" s="289"/>
      <c r="AR172" s="146"/>
      <c r="AS172" s="146"/>
      <c r="AT172" s="146"/>
      <c r="IU172"/>
      <c r="IV172"/>
    </row>
    <row r="173" spans="1:256" s="155" customFormat="1" ht="9.75" customHeight="1">
      <c r="A173" s="267"/>
      <c r="B173" s="267"/>
      <c r="C173" s="267"/>
      <c r="D173" s="267"/>
      <c r="E173" s="537"/>
      <c r="F173" s="538"/>
      <c r="G173" s="538"/>
      <c r="H173" s="539"/>
      <c r="I173" s="209"/>
      <c r="J173" s="209"/>
      <c r="K173" s="209"/>
      <c r="L173" s="209"/>
      <c r="M173" s="538"/>
      <c r="N173" s="538"/>
      <c r="O173" s="538"/>
      <c r="P173" s="539"/>
      <c r="Q173" s="267"/>
      <c r="AA173" s="267"/>
      <c r="AB173" s="267"/>
      <c r="AC173" s="267"/>
      <c r="AD173" s="267"/>
      <c r="AE173" s="267"/>
      <c r="AF173" s="267"/>
      <c r="AG173" s="210"/>
      <c r="AH173" s="267"/>
      <c r="AI173" s="272"/>
      <c r="AJ173" s="265"/>
      <c r="AK173" s="272"/>
      <c r="AL173" s="272"/>
      <c r="AM173" s="272"/>
      <c r="AN173" s="146">
        <f>IF(LEFT(D173,1)="A",Y173,0)</f>
        <v>0</v>
      </c>
      <c r="AO173" s="146">
        <f>IF(LEFT(D173,1)="K",Y173,0)</f>
        <v>0</v>
      </c>
      <c r="AP173" s="146">
        <f>IF(LEFT(D173,1)="M",Y173,0)</f>
        <v>0</v>
      </c>
      <c r="AQ173" s="540"/>
      <c r="AR173" s="146"/>
      <c r="AS173" s="146"/>
      <c r="AT173" s="146"/>
      <c r="IU173"/>
      <c r="IV173"/>
    </row>
    <row r="174" spans="1:256" s="155" customFormat="1" ht="15" customHeight="1">
      <c r="A174" s="274" t="s">
        <v>9</v>
      </c>
      <c r="B174" s="275" t="str">
        <f>B4</f>
        <v>Name bitte hier eintragen!</v>
      </c>
      <c r="C174" s="275"/>
      <c r="D174" s="276"/>
      <c r="E174" s="276"/>
      <c r="F174" s="276"/>
      <c r="G174" s="277"/>
      <c r="H174" s="277"/>
      <c r="I174" s="277"/>
      <c r="J174" s="541"/>
      <c r="K174" s="278" t="s">
        <v>506</v>
      </c>
      <c r="L174" s="542"/>
      <c r="M174" s="542"/>
      <c r="N174" s="542"/>
      <c r="O174" s="543"/>
      <c r="P174" s="544"/>
      <c r="Q174" s="545"/>
      <c r="R174" s="283"/>
      <c r="Z174" s="78"/>
      <c r="AG174" s="78"/>
      <c r="AH174" s="78"/>
      <c r="AI174" s="272"/>
      <c r="AJ174" s="265"/>
      <c r="AK174" s="272"/>
      <c r="AL174" s="272"/>
      <c r="AM174" s="78"/>
      <c r="AN174" s="146">
        <f>IF(LEFT(D174,1)="A",Y174,0)</f>
        <v>0</v>
      </c>
      <c r="AO174" s="146">
        <f>IF(LEFT(D174,1)="K",Y174,0)</f>
        <v>0</v>
      </c>
      <c r="AP174" s="146">
        <f>IF(LEFT(D174,1)="M",Y174,0)</f>
        <v>0</v>
      </c>
      <c r="AQ174" s="146"/>
      <c r="AR174" s="146"/>
      <c r="AS174" s="146"/>
      <c r="AT174" s="146"/>
      <c r="IU174"/>
      <c r="IV174"/>
    </row>
    <row r="175" spans="1:256" s="155" customFormat="1" ht="9.75" customHeight="1">
      <c r="A175" s="108" t="s">
        <v>41</v>
      </c>
      <c r="B175" s="109"/>
      <c r="C175" s="109"/>
      <c r="D175" s="111" t="s">
        <v>48</v>
      </c>
      <c r="E175" s="112" t="s">
        <v>43</v>
      </c>
      <c r="F175" s="112" t="s">
        <v>44</v>
      </c>
      <c r="G175" s="111" t="s">
        <v>45</v>
      </c>
      <c r="H175" s="111" t="s">
        <v>265</v>
      </c>
      <c r="I175" s="113" t="s">
        <v>47</v>
      </c>
      <c r="J175" s="114" t="s">
        <v>41</v>
      </c>
      <c r="K175" s="115"/>
      <c r="L175" s="115"/>
      <c r="M175" s="111" t="s">
        <v>48</v>
      </c>
      <c r="N175" s="111" t="s">
        <v>43</v>
      </c>
      <c r="O175" s="111" t="s">
        <v>44</v>
      </c>
      <c r="P175" s="111" t="s">
        <v>45</v>
      </c>
      <c r="Q175" s="111" t="s">
        <v>265</v>
      </c>
      <c r="R175" s="113" t="s">
        <v>47</v>
      </c>
      <c r="T175" s="108" t="s">
        <v>41</v>
      </c>
      <c r="U175" s="109"/>
      <c r="V175" s="109"/>
      <c r="W175" s="111" t="s">
        <v>49</v>
      </c>
      <c r="X175" s="111" t="s">
        <v>50</v>
      </c>
      <c r="Y175" s="118" t="s">
        <v>51</v>
      </c>
      <c r="Z175" s="546" t="s">
        <v>49</v>
      </c>
      <c r="AA175" s="546"/>
      <c r="AB175" s="121" t="s">
        <v>41</v>
      </c>
      <c r="AC175" s="547"/>
      <c r="AD175" s="547"/>
      <c r="AE175" s="143" t="s">
        <v>49</v>
      </c>
      <c r="AF175" s="143" t="s">
        <v>50</v>
      </c>
      <c r="AG175" s="144" t="s">
        <v>51</v>
      </c>
      <c r="AH175" s="78"/>
      <c r="AI175" s="121" t="s">
        <v>507</v>
      </c>
      <c r="AJ175" s="122"/>
      <c r="AK175" s="282"/>
      <c r="AL175" s="272"/>
      <c r="AM175" s="272"/>
      <c r="AN175" s="146">
        <f>IF(LEFT(D175,1)="A",Y175,0)</f>
        <v>0</v>
      </c>
      <c r="AO175" s="146">
        <f>IF(LEFT(D175,1)="K",Y175,0)</f>
        <v>0</v>
      </c>
      <c r="AP175" s="146">
        <f>IF(LEFT(D175,1)="M",Y175,0)</f>
        <v>0</v>
      </c>
      <c r="AQ175" s="548"/>
      <c r="AR175" s="146">
        <f>IF(LEFT(M175,1)="A",AG175,0)</f>
        <v>0</v>
      </c>
      <c r="AS175" s="146">
        <f>IF(LEFT(M175,1)="K",AG175,0)</f>
        <v>0</v>
      </c>
      <c r="AT175" s="146">
        <f>IF(LEFT(M175,1)="M",AG175,0)</f>
        <v>0</v>
      </c>
      <c r="IU175"/>
      <c r="IV175"/>
    </row>
    <row r="176" spans="1:256" s="155" customFormat="1" ht="12" customHeight="1">
      <c r="A176" s="549" t="s">
        <v>508</v>
      </c>
      <c r="B176" s="550"/>
      <c r="C176" s="550"/>
      <c r="D176" s="551"/>
      <c r="E176" s="551"/>
      <c r="F176" s="551"/>
      <c r="G176" s="552"/>
      <c r="H176" s="552"/>
      <c r="I176" s="553"/>
      <c r="J176" s="554" t="s">
        <v>509</v>
      </c>
      <c r="K176" s="198"/>
      <c r="L176" s="198"/>
      <c r="M176" s="555"/>
      <c r="N176" s="555"/>
      <c r="O176" s="555"/>
      <c r="P176" s="556"/>
      <c r="Q176" s="556"/>
      <c r="R176" s="557"/>
      <c r="T176" s="549" t="s">
        <v>508</v>
      </c>
      <c r="U176" s="550"/>
      <c r="V176" s="550"/>
      <c r="W176" s="551"/>
      <c r="X176" s="558"/>
      <c r="Y176" s="559"/>
      <c r="Z176" s="213" t="s">
        <v>510</v>
      </c>
      <c r="AA176" s="228"/>
      <c r="AB176" s="560" t="s">
        <v>509</v>
      </c>
      <c r="AC176" s="561"/>
      <c r="AD176" s="561"/>
      <c r="AE176" s="562"/>
      <c r="AF176" s="562"/>
      <c r="AG176" s="563"/>
      <c r="AH176" s="78"/>
      <c r="AI176" s="121" t="s">
        <v>41</v>
      </c>
      <c r="AJ176" s="143" t="s">
        <v>49</v>
      </c>
      <c r="AK176" s="144" t="s">
        <v>51</v>
      </c>
      <c r="AL176" s="78"/>
      <c r="AM176" s="78"/>
      <c r="AN176" s="146">
        <f>IF(LEFT(D176,1)="A",Y176,0)</f>
        <v>0</v>
      </c>
      <c r="AO176" s="146">
        <f>IF(LEFT(D176,1)="K",Y176,0)</f>
        <v>0</v>
      </c>
      <c r="AP176" s="146">
        <f>IF(LEFT(D176,1)="M",Y176,0)</f>
        <v>0</v>
      </c>
      <c r="AQ176" s="548"/>
      <c r="AR176" s="146">
        <f>IF(LEFT(M176,1)="A",AG176,0)</f>
        <v>0</v>
      </c>
      <c r="AS176" s="146">
        <f>IF(LEFT(M176,1)="K",AG176,0)</f>
        <v>0</v>
      </c>
      <c r="AT176" s="146">
        <f>IF(LEFT(M176,1)="M",AG176,0)</f>
        <v>0</v>
      </c>
      <c r="IU176"/>
      <c r="IV176"/>
    </row>
    <row r="177" spans="1:256" s="155" customFormat="1" ht="9.75" customHeight="1">
      <c r="A177" s="126" t="s">
        <v>511</v>
      </c>
      <c r="B177" s="211"/>
      <c r="C177" s="211"/>
      <c r="D177" s="212"/>
      <c r="E177" s="212"/>
      <c r="F177" s="212"/>
      <c r="G177" s="199"/>
      <c r="H177" s="199"/>
      <c r="I177" s="200"/>
      <c r="J177" s="197" t="s">
        <v>512</v>
      </c>
      <c r="K177" s="182"/>
      <c r="L177" s="182"/>
      <c r="M177" s="212"/>
      <c r="N177" s="212"/>
      <c r="O177" s="212"/>
      <c r="P177" s="199"/>
      <c r="Q177" s="199"/>
      <c r="R177" s="130"/>
      <c r="T177" s="126" t="s">
        <v>511</v>
      </c>
      <c r="U177" s="211"/>
      <c r="V177" s="211"/>
      <c r="W177" s="212"/>
      <c r="X177" s="182"/>
      <c r="Y177" s="183"/>
      <c r="Z177" s="564" t="s">
        <v>513</v>
      </c>
      <c r="AA177" s="565" t="s">
        <v>50</v>
      </c>
      <c r="AB177" s="197" t="s">
        <v>512</v>
      </c>
      <c r="AC177" s="323"/>
      <c r="AD177" s="323"/>
      <c r="AE177" s="566"/>
      <c r="AF177" s="566"/>
      <c r="AG177" s="567"/>
      <c r="AH177" s="78"/>
      <c r="AI177" s="193"/>
      <c r="AJ177" s="302"/>
      <c r="AK177" s="303"/>
      <c r="AN177" s="146">
        <f>IF(LEFT(D177,1)="A",Y177,0)</f>
        <v>0</v>
      </c>
      <c r="AO177" s="146">
        <f>IF(LEFT(D177,1)="K",Y177,0)</f>
        <v>0</v>
      </c>
      <c r="AP177" s="146">
        <f>IF(LEFT(D177,1)="M",Y177,0)</f>
        <v>0</v>
      </c>
      <c r="AQ177" s="548"/>
      <c r="AR177" s="146">
        <f>IF(LEFT(M177,1)="A",AG177,0)</f>
        <v>0</v>
      </c>
      <c r="AS177" s="146">
        <f>IF(LEFT(M177,1)="K",AG177,0)</f>
        <v>0</v>
      </c>
      <c r="AT177" s="146">
        <f>IF(LEFT(M177,1)="M",AG177,0)</f>
        <v>0</v>
      </c>
      <c r="IU177"/>
      <c r="IV177"/>
    </row>
    <row r="178" spans="1:256" s="155" customFormat="1" ht="9.75" customHeight="1">
      <c r="A178" s="172" t="s">
        <v>514</v>
      </c>
      <c r="B178" s="173"/>
      <c r="C178" s="568" t="s">
        <v>49</v>
      </c>
      <c r="D178" s="150" t="s">
        <v>515</v>
      </c>
      <c r="E178" s="150">
        <v>-5</v>
      </c>
      <c r="F178" s="150">
        <v>40</v>
      </c>
      <c r="G178" s="135">
        <f>(3*Mt___0+2*Kom)/5</f>
        <v>75</v>
      </c>
      <c r="H178" s="135">
        <f>IF(G178&lt;50,450-6*G178,IF(G178&lt;100,250-2*G178,75-G178/4))</f>
        <v>100</v>
      </c>
      <c r="I178" s="136">
        <f>H178*F178/100</f>
        <v>40</v>
      </c>
      <c r="J178" s="131" t="s">
        <v>516</v>
      </c>
      <c r="K178" s="132"/>
      <c r="L178" s="132"/>
      <c r="M178" s="150" t="s">
        <v>517</v>
      </c>
      <c r="N178" s="150">
        <v>30</v>
      </c>
      <c r="O178" s="150">
        <v>45</v>
      </c>
      <c r="P178" s="135">
        <f>(4*Mt___0+Int)/5</f>
        <v>75</v>
      </c>
      <c r="Q178" s="135">
        <f>IF(P178&lt;50,450-6*P178,IF(P178&lt;100,250-2*P178,75-P178/4))</f>
        <v>100</v>
      </c>
      <c r="R178" s="569">
        <f>Q178*O178/100</f>
        <v>45</v>
      </c>
      <c r="T178" s="570" t="s">
        <v>514</v>
      </c>
      <c r="U178" s="571"/>
      <c r="V178" s="572" t="s">
        <v>49</v>
      </c>
      <c r="W178" s="153"/>
      <c r="X178" s="140">
        <f>IF(W178&gt;0,INDEX(lerntab___0,W178,1),0)</f>
        <v>0</v>
      </c>
      <c r="Y178" s="141">
        <f>ROUND((X178+AA178/3+AA179/2)*I178,0)</f>
        <v>0</v>
      </c>
      <c r="Z178" s="573"/>
      <c r="AA178" s="574">
        <f>IF(Z178&gt;0,INDEX(lerntab___0,Z178,1),0)</f>
        <v>0</v>
      </c>
      <c r="AB178" s="131" t="s">
        <v>516</v>
      </c>
      <c r="AC178" s="323"/>
      <c r="AD178" s="323"/>
      <c r="AE178" s="153"/>
      <c r="AF178" s="575">
        <f>IF(AE178&gt;0,INDEX(lerntab___0,AE178,1),0)</f>
        <v>0</v>
      </c>
      <c r="AG178" s="576">
        <f>ROUND(AF178*R178,0)</f>
        <v>0</v>
      </c>
      <c r="AH178" s="78"/>
      <c r="AI178" s="166"/>
      <c r="AJ178" s="153"/>
      <c r="AK178" s="156"/>
      <c r="AN178" s="146">
        <f>IF(LEFT(D178,1)="A",Y178,0)</f>
        <v>0</v>
      </c>
      <c r="AO178" s="146">
        <f>IF(LEFT(D178,1)="K",Y178,0)</f>
        <v>0</v>
      </c>
      <c r="AP178" s="146">
        <f>IF(LEFT(D178,1)="M",Y178,0)</f>
        <v>0</v>
      </c>
      <c r="AQ178" s="548"/>
      <c r="AR178" s="146">
        <f>IF(LEFT(M178,1)="A",AG178,0)</f>
        <v>0</v>
      </c>
      <c r="AS178" s="146">
        <f>IF(LEFT(M178,1)="K",AG178,0)</f>
        <v>0</v>
      </c>
      <c r="AT178" s="146">
        <f>IF(LEFT(M178,1)="M",AG178,0)</f>
        <v>0</v>
      </c>
      <c r="IU178"/>
      <c r="IV178"/>
    </row>
    <row r="179" spans="1:256" s="155" customFormat="1" ht="9.75" customHeight="1">
      <c r="A179" s="577"/>
      <c r="B179" s="6"/>
      <c r="C179" s="568" t="s">
        <v>518</v>
      </c>
      <c r="D179" s="150" t="s">
        <v>519</v>
      </c>
      <c r="E179" s="150" t="s">
        <v>433</v>
      </c>
      <c r="F179" s="150">
        <v>20</v>
      </c>
      <c r="G179" s="135">
        <f>(3*Mt___0+2*Kom)/5</f>
        <v>75</v>
      </c>
      <c r="H179" s="135">
        <f>IF(G179&lt;50,450-6*G179,IF(G179&lt;100,250-2*G179,75-G179/4))</f>
        <v>100</v>
      </c>
      <c r="I179" s="136">
        <f>H179*F179/100</f>
        <v>20</v>
      </c>
      <c r="J179" s="131" t="s">
        <v>520</v>
      </c>
      <c r="K179" s="132"/>
      <c r="L179" s="132"/>
      <c r="M179" s="150" t="s">
        <v>521</v>
      </c>
      <c r="N179" s="150">
        <v>30</v>
      </c>
      <c r="O179" s="134">
        <v>10</v>
      </c>
      <c r="P179" s="135">
        <f>Mt___0</f>
        <v>75</v>
      </c>
      <c r="Q179" s="135">
        <f>IF(P179&lt;50,450-6*P179,IF(P179&lt;100,250-2*P179,75-P179/4))</f>
        <v>100</v>
      </c>
      <c r="R179" s="136">
        <f>Q179*O179/100</f>
        <v>10</v>
      </c>
      <c r="T179" s="578"/>
      <c r="V179" s="572" t="s">
        <v>518</v>
      </c>
      <c r="W179" s="153"/>
      <c r="X179" s="140">
        <f>IF(W179&gt;0,INDEX(lerntab___0,W179,1),0)</f>
        <v>0</v>
      </c>
      <c r="Y179" s="141">
        <f>ROUND(X179*I179,0)</f>
        <v>0</v>
      </c>
      <c r="Z179" s="579"/>
      <c r="AA179" s="574">
        <f>IF(Z179&gt;0,INDEX(lerntab___0,Z179,1),0)</f>
        <v>0</v>
      </c>
      <c r="AB179" s="131" t="s">
        <v>520</v>
      </c>
      <c r="AC179" s="323"/>
      <c r="AD179" s="323"/>
      <c r="AE179" s="153"/>
      <c r="AF179" s="575">
        <f>IF(AE179&gt;0,INDEX(lerntab___0,AE179,1),0)</f>
        <v>0</v>
      </c>
      <c r="AG179" s="576">
        <f>ROUND(AF179*R179,0)</f>
        <v>0</v>
      </c>
      <c r="AH179" s="78"/>
      <c r="AI179" s="166"/>
      <c r="AJ179" s="153"/>
      <c r="AK179" s="157"/>
      <c r="AN179" s="146">
        <f>IF(LEFT(D179,1)="A",Y179,0)</f>
        <v>0</v>
      </c>
      <c r="AO179" s="146">
        <f>IF(LEFT(D179,1)="K",Y179,0)</f>
        <v>0</v>
      </c>
      <c r="AP179" s="146">
        <f>IF(LEFT(D179,1)="M",Y179,0)</f>
        <v>0</v>
      </c>
      <c r="AQ179" s="548"/>
      <c r="AR179" s="146">
        <f>IF(LEFT(M179,1)="A",AG179,0)</f>
        <v>0</v>
      </c>
      <c r="AS179" s="146">
        <f>IF(LEFT(M179,1)="K",AG179,0)</f>
        <v>0</v>
      </c>
      <c r="AT179" s="146">
        <f>IF(LEFT(M179,1)="M",AG179,0)</f>
        <v>0</v>
      </c>
      <c r="IU179"/>
      <c r="IV179"/>
    </row>
    <row r="180" spans="1:256" s="155" customFormat="1" ht="9.75" customHeight="1">
      <c r="A180" s="172" t="s">
        <v>522</v>
      </c>
      <c r="B180" s="173"/>
      <c r="C180" s="568" t="s">
        <v>49</v>
      </c>
      <c r="D180" s="150" t="s">
        <v>515</v>
      </c>
      <c r="E180" s="150">
        <f>E178</f>
        <v>-5</v>
      </c>
      <c r="F180" s="150">
        <v>60</v>
      </c>
      <c r="G180" s="135">
        <f>(3*Mt___0+2*Kom)/5</f>
        <v>75</v>
      </c>
      <c r="H180" s="135">
        <f>IF(G180&lt;50,450-6*G180,IF(G180&lt;100,250-2*G180,75-G180/4))</f>
        <v>100</v>
      </c>
      <c r="I180" s="136">
        <f>H180*F180/100</f>
        <v>60</v>
      </c>
      <c r="J180" s="479" t="s">
        <v>523</v>
      </c>
      <c r="K180" s="132"/>
      <c r="L180" s="132"/>
      <c r="M180" s="314"/>
      <c r="N180" s="314"/>
      <c r="O180" s="314"/>
      <c r="P180" s="490" t="s">
        <v>54</v>
      </c>
      <c r="Q180" s="490" t="s">
        <v>54</v>
      </c>
      <c r="R180" s="130" t="s">
        <v>54</v>
      </c>
      <c r="T180" s="570" t="s">
        <v>522</v>
      </c>
      <c r="U180" s="571"/>
      <c r="V180" s="572" t="s">
        <v>49</v>
      </c>
      <c r="W180" s="153"/>
      <c r="X180" s="140">
        <f>IF(W180&gt;0,INDEX(lerntab___0,W180,1),0)</f>
        <v>0</v>
      </c>
      <c r="Y180" s="141">
        <f>ROUND((X180+AA180/3+AA181/2)*I180,0)</f>
        <v>0</v>
      </c>
      <c r="Z180" s="573"/>
      <c r="AA180" s="574">
        <f>IF(Z180&gt;0,INDEX(lerntab___0,Z180,1),0)</f>
        <v>0</v>
      </c>
      <c r="AB180" s="479" t="s">
        <v>523</v>
      </c>
      <c r="AC180" s="323"/>
      <c r="AD180" s="323"/>
      <c r="AE180" s="566"/>
      <c r="AF180" s="566"/>
      <c r="AG180" s="567"/>
      <c r="AH180" s="78"/>
      <c r="AI180" s="166"/>
      <c r="AJ180" s="139"/>
      <c r="AK180" s="175"/>
      <c r="AN180" s="146">
        <f>IF(LEFT(D180,1)="A",Y180,0)</f>
        <v>0</v>
      </c>
      <c r="AO180" s="146">
        <f>IF(LEFT(D180,1)="K",Y180,0)</f>
        <v>0</v>
      </c>
      <c r="AP180" s="146">
        <f>IF(LEFT(D180,1)="M",Y180,0)</f>
        <v>0</v>
      </c>
      <c r="AQ180" s="548"/>
      <c r="AR180" s="146">
        <f>IF(LEFT(M180,1)="A",AG180,0)</f>
        <v>0</v>
      </c>
      <c r="AS180" s="146">
        <f>IF(LEFT(M180,1)="K",AG180,0)</f>
        <v>0</v>
      </c>
      <c r="AT180" s="146">
        <f>IF(LEFT(M180,1)="M",AG180,0)</f>
        <v>0</v>
      </c>
      <c r="IU180"/>
      <c r="IV180"/>
    </row>
    <row r="181" spans="1:256" s="155" customFormat="1" ht="9.75" customHeight="1">
      <c r="A181" s="577"/>
      <c r="B181" s="6"/>
      <c r="C181" s="568" t="s">
        <v>518</v>
      </c>
      <c r="D181" s="150" t="s">
        <v>519</v>
      </c>
      <c r="E181" s="150" t="s">
        <v>433</v>
      </c>
      <c r="F181" s="150">
        <v>35</v>
      </c>
      <c r="G181" s="135">
        <f>(3*Mt___0+2*Kom)/5</f>
        <v>75</v>
      </c>
      <c r="H181" s="135">
        <f>IF(G181&lt;50,450-6*G181,IF(G181&lt;100,250-2*G181,75-G181/4))</f>
        <v>100</v>
      </c>
      <c r="I181" s="136">
        <f>H181*F181/100</f>
        <v>35</v>
      </c>
      <c r="J181" s="131" t="s">
        <v>524</v>
      </c>
      <c r="K181" s="132"/>
      <c r="L181" s="132"/>
      <c r="M181" s="150" t="s">
        <v>515</v>
      </c>
      <c r="N181" s="150">
        <v>30</v>
      </c>
      <c r="O181" s="150">
        <v>20</v>
      </c>
      <c r="P181" s="135">
        <f>(4*Mt___0+Int)/5</f>
        <v>75</v>
      </c>
      <c r="Q181" s="135">
        <f>IF(P181&lt;50,450-6*P181,IF(P181&lt;100,250-2*P181,75-P181/4))</f>
        <v>100</v>
      </c>
      <c r="R181" s="569">
        <f>Q181*O181/100</f>
        <v>20</v>
      </c>
      <c r="S181" s="580"/>
      <c r="T181" s="578"/>
      <c r="V181" s="572" t="s">
        <v>518</v>
      </c>
      <c r="W181" s="153"/>
      <c r="X181" s="140">
        <f>IF(W181&gt;0,INDEX(lerntab___0,W181,1),0)</f>
        <v>0</v>
      </c>
      <c r="Y181" s="141">
        <f>ROUND(X181*I181,0)</f>
        <v>0</v>
      </c>
      <c r="Z181" s="579"/>
      <c r="AA181" s="574">
        <f>IF(Z181&gt;0,INDEX(lerntab___0,Z181,1),0)</f>
        <v>0</v>
      </c>
      <c r="AB181" s="131" t="s">
        <v>524</v>
      </c>
      <c r="AC181" s="323"/>
      <c r="AD181" s="323"/>
      <c r="AE181" s="153"/>
      <c r="AF181" s="575">
        <f>IF(AE181&gt;0,INDEX(lerntab___0,AE181,1),0)</f>
        <v>0</v>
      </c>
      <c r="AG181" s="576">
        <f>ROUND(AF181*R181,0)</f>
        <v>0</v>
      </c>
      <c r="AH181" s="78"/>
      <c r="AI181" s="166"/>
      <c r="AJ181" s="139"/>
      <c r="AK181" s="175"/>
      <c r="AN181" s="146">
        <f>IF(LEFT(D181,1)="A",Y181,0)</f>
        <v>0</v>
      </c>
      <c r="AO181" s="146">
        <f>IF(LEFT(D181,1)="K",Y181,0)</f>
        <v>0</v>
      </c>
      <c r="AP181" s="146">
        <f>IF(LEFT(D181,1)="M",Y181,0)</f>
        <v>0</v>
      </c>
      <c r="AQ181" s="548"/>
      <c r="AR181" s="146">
        <f>IF(LEFT(M181,1)="A",AG181,0)</f>
        <v>0</v>
      </c>
      <c r="AS181" s="146">
        <f>IF(LEFT(M181,1)="K",AG181,0)</f>
        <v>0</v>
      </c>
      <c r="AT181" s="146">
        <f>IF(LEFT(M181,1)="M",AG181,0)</f>
        <v>0</v>
      </c>
      <c r="IU181"/>
      <c r="IV181"/>
    </row>
    <row r="182" spans="1:256" s="155" customFormat="1" ht="9.75" customHeight="1">
      <c r="A182" s="172" t="s">
        <v>525</v>
      </c>
      <c r="B182" s="173"/>
      <c r="C182" s="568" t="s">
        <v>49</v>
      </c>
      <c r="D182" s="150" t="s">
        <v>515</v>
      </c>
      <c r="E182" s="150">
        <f>E180</f>
        <v>-5</v>
      </c>
      <c r="F182" s="150">
        <v>140</v>
      </c>
      <c r="G182" s="135">
        <f>(3*Mt___0+2*Kom)/5</f>
        <v>75</v>
      </c>
      <c r="H182" s="135">
        <f>IF(G182&lt;50,450-6*G182,IF(G182&lt;100,250-2*G182,75-G182/4))</f>
        <v>100</v>
      </c>
      <c r="I182" s="136">
        <f>H182*F182/100</f>
        <v>140</v>
      </c>
      <c r="J182" s="131" t="s">
        <v>526</v>
      </c>
      <c r="K182" s="132"/>
      <c r="L182" s="132"/>
      <c r="M182" s="150" t="s">
        <v>515</v>
      </c>
      <c r="N182" s="150">
        <v>30</v>
      </c>
      <c r="O182" s="150">
        <v>20</v>
      </c>
      <c r="P182" s="135">
        <f>(4*Mt___0+Int)/5</f>
        <v>75</v>
      </c>
      <c r="Q182" s="135">
        <f>IF(P182&lt;50,450-6*P182,IF(P182&lt;100,250-2*P182,75-P182/4))</f>
        <v>100</v>
      </c>
      <c r="R182" s="569">
        <f>Q182*O182/100</f>
        <v>20</v>
      </c>
      <c r="T182" s="570" t="s">
        <v>527</v>
      </c>
      <c r="U182" s="571"/>
      <c r="V182" s="572" t="s">
        <v>49</v>
      </c>
      <c r="W182" s="153"/>
      <c r="X182" s="140">
        <f>IF(W182&gt;0,INDEX(lerntab___0,W182,1),0)</f>
        <v>0</v>
      </c>
      <c r="Y182" s="141">
        <f>ROUND((X182+AA182/3+AA183/2)*I182,0)</f>
        <v>0</v>
      </c>
      <c r="Z182" s="573"/>
      <c r="AA182" s="574">
        <f>IF(Z182&gt;0,INDEX(lerntab___0,Z182,1),0)</f>
        <v>0</v>
      </c>
      <c r="AB182" s="131" t="s">
        <v>526</v>
      </c>
      <c r="AC182" s="323"/>
      <c r="AD182" s="323"/>
      <c r="AE182" s="153"/>
      <c r="AF182" s="575">
        <f>IF(AE182&gt;0,INDEX(lerntab___0,AE182,1),0)</f>
        <v>0</v>
      </c>
      <c r="AG182" s="576">
        <f>ROUND(AF182*R182,0)</f>
        <v>0</v>
      </c>
      <c r="AH182" s="78"/>
      <c r="AI182" s="166"/>
      <c r="AJ182" s="139"/>
      <c r="AK182" s="175"/>
      <c r="AN182" s="146">
        <f>IF(LEFT(D182,1)="A",Y182,0)</f>
        <v>0</v>
      </c>
      <c r="AO182" s="146">
        <f>IF(LEFT(D182,1)="K",Y182,0)</f>
        <v>0</v>
      </c>
      <c r="AP182" s="146">
        <f>IF(LEFT(D182,1)="M",Y182,0)</f>
        <v>0</v>
      </c>
      <c r="AQ182" s="548"/>
      <c r="AR182" s="146">
        <f>IF(LEFT(M182,1)="A",AG182,0)</f>
        <v>0</v>
      </c>
      <c r="AS182" s="146">
        <f>IF(LEFT(M182,1)="K",AG182,0)</f>
        <v>0</v>
      </c>
      <c r="AT182" s="146">
        <f>IF(LEFT(M182,1)="M",AG182,0)</f>
        <v>0</v>
      </c>
      <c r="IU182"/>
      <c r="IV182"/>
    </row>
    <row r="183" spans="1:256" s="155" customFormat="1" ht="9.75" customHeight="1">
      <c r="A183" s="577"/>
      <c r="B183" s="6"/>
      <c r="C183" s="568" t="s">
        <v>518</v>
      </c>
      <c r="D183" s="150" t="s">
        <v>519</v>
      </c>
      <c r="E183" s="150" t="s">
        <v>433</v>
      </c>
      <c r="F183" s="150">
        <v>50</v>
      </c>
      <c r="G183" s="135">
        <f>(3*Mt___0+2*Kom)/5</f>
        <v>75</v>
      </c>
      <c r="H183" s="135">
        <f>IF(G183&lt;50,450-6*G183,IF(G183&lt;100,250-2*G183,75-G183/4))</f>
        <v>100</v>
      </c>
      <c r="I183" s="136">
        <f>H183*F183/100</f>
        <v>50</v>
      </c>
      <c r="J183" s="131" t="s">
        <v>528</v>
      </c>
      <c r="K183" s="132"/>
      <c r="L183" s="132"/>
      <c r="M183" s="150" t="s">
        <v>515</v>
      </c>
      <c r="N183" s="150">
        <v>30</v>
      </c>
      <c r="O183" s="150">
        <v>4</v>
      </c>
      <c r="P183" s="135">
        <f>(4*Mt___0+Int)/5</f>
        <v>75</v>
      </c>
      <c r="Q183" s="135">
        <f>IF(P183&lt;50,450-6*P183,IF(P183&lt;100,250-2*P183,75-P183/4))</f>
        <v>100</v>
      </c>
      <c r="R183" s="569">
        <f>Q183*O183/100</f>
        <v>4</v>
      </c>
      <c r="S183" s="120"/>
      <c r="T183" s="578"/>
      <c r="V183" s="572" t="s">
        <v>518</v>
      </c>
      <c r="W183" s="153"/>
      <c r="X183" s="140">
        <f>IF(W183&gt;0,INDEX(lerntab___0,W183,1),0)</f>
        <v>0</v>
      </c>
      <c r="Y183" s="141">
        <f>ROUND(X183*I183,0)</f>
        <v>0</v>
      </c>
      <c r="Z183" s="579"/>
      <c r="AA183" s="574">
        <f>IF(Z183&gt;0,INDEX(lerntab___0,Z183,1),0)</f>
        <v>0</v>
      </c>
      <c r="AB183" s="131" t="s">
        <v>528</v>
      </c>
      <c r="AC183" s="323"/>
      <c r="AD183" s="323"/>
      <c r="AE183" s="153"/>
      <c r="AF183" s="575">
        <f>IF(AE183&gt;0,INDEX(lerntab___0,AE183,1),0)</f>
        <v>0</v>
      </c>
      <c r="AG183" s="576">
        <f>ROUND(AF183*R183,0)</f>
        <v>0</v>
      </c>
      <c r="AH183" s="78"/>
      <c r="AI183" s="166"/>
      <c r="AJ183" s="139"/>
      <c r="AK183" s="175"/>
      <c r="AN183" s="146">
        <f>IF(LEFT(D183,1)="A",Y183,0)</f>
        <v>0</v>
      </c>
      <c r="AO183" s="146">
        <f>IF(LEFT(D183,1)="K",Y183,0)</f>
        <v>0</v>
      </c>
      <c r="AP183" s="146">
        <f>IF(LEFT(D183,1)="M",Y183,0)</f>
        <v>0</v>
      </c>
      <c r="AQ183" s="548"/>
      <c r="AR183" s="146">
        <f>IF(LEFT(M183,1)="A",AG183,0)</f>
        <v>0</v>
      </c>
      <c r="AS183" s="146">
        <f>IF(LEFT(M183,1)="K",AG183,0)</f>
        <v>0</v>
      </c>
      <c r="AT183" s="146">
        <f>IF(LEFT(M183,1)="M",AG183,0)</f>
        <v>0</v>
      </c>
      <c r="IU183"/>
      <c r="IV183"/>
    </row>
    <row r="184" spans="1:256" s="155" customFormat="1" ht="9.75" customHeight="1">
      <c r="A184" s="172" t="s">
        <v>529</v>
      </c>
      <c r="B184" s="173"/>
      <c r="C184" s="568" t="s">
        <v>49</v>
      </c>
      <c r="D184" s="150" t="s">
        <v>515</v>
      </c>
      <c r="E184" s="150">
        <f>E182</f>
        <v>-5</v>
      </c>
      <c r="F184" s="150">
        <v>70</v>
      </c>
      <c r="G184" s="135">
        <f>(3*Mt___0+2*Kom)/5</f>
        <v>75</v>
      </c>
      <c r="H184" s="135">
        <f>IF(G184&lt;50,450-6*G184,IF(G184&lt;100,250-2*G184,75-G184/4))</f>
        <v>100</v>
      </c>
      <c r="I184" s="136">
        <f>H184*F184/100</f>
        <v>70</v>
      </c>
      <c r="J184" s="131" t="s">
        <v>530</v>
      </c>
      <c r="K184" s="132"/>
      <c r="L184" s="132"/>
      <c r="M184" s="150" t="s">
        <v>515</v>
      </c>
      <c r="N184" s="150">
        <v>30</v>
      </c>
      <c r="O184" s="150">
        <v>8</v>
      </c>
      <c r="P184" s="135">
        <f>(4*Mt___0+Int)/5</f>
        <v>75</v>
      </c>
      <c r="Q184" s="135">
        <f>IF(P184&lt;50,450-6*P184,IF(P184&lt;100,250-2*P184,75-P184/4))</f>
        <v>100</v>
      </c>
      <c r="R184" s="569">
        <f>Q184*O184/100</f>
        <v>8</v>
      </c>
      <c r="S184" s="120"/>
      <c r="T184" s="570" t="s">
        <v>529</v>
      </c>
      <c r="U184" s="571"/>
      <c r="V184" s="572" t="s">
        <v>49</v>
      </c>
      <c r="W184" s="153"/>
      <c r="X184" s="140">
        <f>IF(W184&gt;0,INDEX(lerntab___0,W184,1),0)</f>
        <v>0</v>
      </c>
      <c r="Y184" s="141">
        <f>ROUND((X184+AA184/3+AA185/2)*I184,0)</f>
        <v>0</v>
      </c>
      <c r="Z184" s="573"/>
      <c r="AA184" s="574">
        <f>IF(Z184&gt;0,INDEX(lerntab___0,Z184,1),0)</f>
        <v>0</v>
      </c>
      <c r="AB184" s="131" t="s">
        <v>530</v>
      </c>
      <c r="AC184" s="323"/>
      <c r="AD184" s="211"/>
      <c r="AE184" s="153"/>
      <c r="AF184" s="575">
        <f>IF(AE184&gt;0,INDEX(lerntab___0,AE184,1),0)</f>
        <v>0</v>
      </c>
      <c r="AG184" s="576">
        <f>ROUND(AF184*R184,0)</f>
        <v>0</v>
      </c>
      <c r="AH184" s="78"/>
      <c r="AI184" s="166"/>
      <c r="AJ184" s="139"/>
      <c r="AK184" s="175"/>
      <c r="AN184" s="146">
        <f>IF(LEFT(D184,1)="A",Y184,0)</f>
        <v>0</v>
      </c>
      <c r="AO184" s="146">
        <f>IF(LEFT(D184,1)="K",Y184,0)</f>
        <v>0</v>
      </c>
      <c r="AP184" s="146">
        <f>IF(LEFT(D184,1)="M",Y184,0)</f>
        <v>0</v>
      </c>
      <c r="AQ184" s="548"/>
      <c r="AR184" s="146">
        <f>IF(LEFT(M184,1)="A",AG184,0)</f>
        <v>0</v>
      </c>
      <c r="AS184" s="146">
        <f>IF(LEFT(M184,1)="K",AG184,0)</f>
        <v>0</v>
      </c>
      <c r="AT184" s="146">
        <f>IF(LEFT(M184,1)="M",AG184,0)</f>
        <v>0</v>
      </c>
      <c r="IU184"/>
      <c r="IV184"/>
    </row>
    <row r="185" spans="1:256" s="155" customFormat="1" ht="9.75" customHeight="1">
      <c r="A185" s="577"/>
      <c r="B185" s="6"/>
      <c r="C185" s="568" t="s">
        <v>518</v>
      </c>
      <c r="D185" s="150" t="s">
        <v>519</v>
      </c>
      <c r="E185" s="150" t="s">
        <v>433</v>
      </c>
      <c r="F185" s="150">
        <v>30</v>
      </c>
      <c r="G185" s="135">
        <f>(3*Mt___0+2*Kom)/5</f>
        <v>75</v>
      </c>
      <c r="H185" s="135">
        <f>IF(G185&lt;50,450-6*G185,IF(G185&lt;100,250-2*G185,75-G185/4))</f>
        <v>100</v>
      </c>
      <c r="I185" s="136">
        <f>H185*F185/100</f>
        <v>30</v>
      </c>
      <c r="J185" s="131" t="s">
        <v>531</v>
      </c>
      <c r="K185" s="132"/>
      <c r="L185" s="132"/>
      <c r="M185" s="150" t="s">
        <v>515</v>
      </c>
      <c r="N185" s="150">
        <v>30</v>
      </c>
      <c r="O185" s="150">
        <v>12</v>
      </c>
      <c r="P185" s="135">
        <f>(4*Mt___0+Int)/5</f>
        <v>75</v>
      </c>
      <c r="Q185" s="135">
        <f>IF(P185&lt;50,450-6*P185,IF(P185&lt;100,250-2*P185,75-P185/4))</f>
        <v>100</v>
      </c>
      <c r="R185" s="569">
        <f>Q185*O185/100</f>
        <v>12</v>
      </c>
      <c r="S185" s="120"/>
      <c r="T185" s="578"/>
      <c r="V185" s="572" t="s">
        <v>518</v>
      </c>
      <c r="W185" s="153"/>
      <c r="X185" s="140">
        <f>IF(W185&gt;0,INDEX(lerntab___0,W185,1),0)</f>
        <v>0</v>
      </c>
      <c r="Y185" s="141">
        <f>ROUND(X185*I185,0)</f>
        <v>0</v>
      </c>
      <c r="Z185" s="579"/>
      <c r="AA185" s="574">
        <f>IF(Z185&gt;0,INDEX(lerntab___0,Z185,1),0)</f>
        <v>0</v>
      </c>
      <c r="AB185" s="131" t="s">
        <v>531</v>
      </c>
      <c r="AC185" s="323"/>
      <c r="AD185" s="211"/>
      <c r="AE185" s="153"/>
      <c r="AF185" s="575">
        <f>IF(AE185&gt;0,INDEX(lerntab___0,AE185,1),0)</f>
        <v>0</v>
      </c>
      <c r="AG185" s="576">
        <f>ROUND(AF185*R185,0)</f>
        <v>0</v>
      </c>
      <c r="AI185" s="166"/>
      <c r="AJ185" s="139"/>
      <c r="AK185" s="175"/>
      <c r="AN185" s="146">
        <f>IF(LEFT(D185,1)="A",Y185,0)</f>
        <v>0</v>
      </c>
      <c r="AO185" s="146">
        <f>IF(LEFT(D185,1)="K",Y185,0)</f>
        <v>0</v>
      </c>
      <c r="AP185" s="146">
        <f>IF(LEFT(D185,1)="M",Y185,0)</f>
        <v>0</v>
      </c>
      <c r="AQ185" s="548"/>
      <c r="AR185" s="146">
        <f>IF(LEFT(M185,1)="A",AG185,0)</f>
        <v>0</v>
      </c>
      <c r="AS185" s="146">
        <f>IF(LEFT(M185,1)="K",AG185,0)</f>
        <v>0</v>
      </c>
      <c r="AT185" s="146">
        <f>IF(LEFT(M185,1)="M",AG185,0)</f>
        <v>0</v>
      </c>
      <c r="IU185"/>
      <c r="IV185"/>
    </row>
    <row r="186" spans="1:256" s="155" customFormat="1" ht="9.75" customHeight="1">
      <c r="A186" s="172" t="s">
        <v>532</v>
      </c>
      <c r="B186" s="173"/>
      <c r="C186" s="568" t="s">
        <v>49</v>
      </c>
      <c r="D186" s="150" t="s">
        <v>515</v>
      </c>
      <c r="E186" s="150">
        <f>E184</f>
        <v>-5</v>
      </c>
      <c r="F186" s="150">
        <v>100</v>
      </c>
      <c r="G186" s="135">
        <f>(3*Mt___0+2*Kom)/5</f>
        <v>75</v>
      </c>
      <c r="H186" s="135">
        <f>IF(G186&lt;50,450-6*G186,IF(G186&lt;100,250-2*G186,75-G186/4))</f>
        <v>100</v>
      </c>
      <c r="I186" s="136">
        <f>H186*F186/100</f>
        <v>100</v>
      </c>
      <c r="J186" s="479" t="s">
        <v>533</v>
      </c>
      <c r="K186" s="132"/>
      <c r="L186" s="132"/>
      <c r="M186" s="314"/>
      <c r="N186" s="314"/>
      <c r="O186" s="314"/>
      <c r="P186" s="490" t="s">
        <v>54</v>
      </c>
      <c r="Q186" s="490" t="s">
        <v>54</v>
      </c>
      <c r="R186" s="130" t="s">
        <v>54</v>
      </c>
      <c r="S186" s="120"/>
      <c r="T186" s="570" t="s">
        <v>534</v>
      </c>
      <c r="U186" s="571"/>
      <c r="V186" s="572" t="s">
        <v>49</v>
      </c>
      <c r="W186" s="153"/>
      <c r="X186" s="140">
        <f>IF(W186&gt;0,INDEX(lerntab___0,W186,1),0)</f>
        <v>0</v>
      </c>
      <c r="Y186" s="141">
        <f>ROUND((X186+AA186/3+AA187/2)*I178,0)</f>
        <v>0</v>
      </c>
      <c r="Z186" s="573"/>
      <c r="AA186" s="574">
        <f>IF(Z186&gt;0,INDEX(lerntab___0,Z186,1),0)</f>
        <v>0</v>
      </c>
      <c r="AB186" s="479" t="s">
        <v>533</v>
      </c>
      <c r="AC186" s="323"/>
      <c r="AD186" s="323"/>
      <c r="AE186" s="566"/>
      <c r="AF186" s="566"/>
      <c r="AG186" s="567"/>
      <c r="AI186" s="193"/>
      <c r="AJ186" s="139"/>
      <c r="AK186" s="175"/>
      <c r="AN186" s="146">
        <f>IF(LEFT(D186,1)="A",Y186,0)</f>
        <v>0</v>
      </c>
      <c r="AO186" s="146">
        <f>IF(LEFT(D186,1)="K",Y186,0)</f>
        <v>0</v>
      </c>
      <c r="AP186" s="146">
        <f>IF(LEFT(D186,1)="M",Y186,0)</f>
        <v>0</v>
      </c>
      <c r="AQ186" s="548"/>
      <c r="AR186" s="146">
        <f>IF(LEFT(M186,1)="A",AG186,0)</f>
        <v>0</v>
      </c>
      <c r="AS186" s="146">
        <f>IF(LEFT(M186,1)="K",AG186,0)</f>
        <v>0</v>
      </c>
      <c r="AT186" s="146">
        <f>IF(LEFT(M186,1)="M",AG186,0)</f>
        <v>0</v>
      </c>
      <c r="IU186"/>
      <c r="IV186"/>
    </row>
    <row r="187" spans="1:256" s="155" customFormat="1" ht="9.75" customHeight="1">
      <c r="A187" s="577"/>
      <c r="B187" s="6"/>
      <c r="C187" s="568" t="s">
        <v>518</v>
      </c>
      <c r="D187" s="150" t="s">
        <v>519</v>
      </c>
      <c r="E187" s="150" t="s">
        <v>433</v>
      </c>
      <c r="F187" s="150">
        <v>60</v>
      </c>
      <c r="G187" s="135">
        <f>(3*Mt___0+2*Kom)/5</f>
        <v>75</v>
      </c>
      <c r="H187" s="135">
        <f>IF(G187&lt;50,450-6*G187,IF(G187&lt;100,250-2*G187,75-G187/4))</f>
        <v>100</v>
      </c>
      <c r="I187" s="136">
        <f>H187*F187/100</f>
        <v>60</v>
      </c>
      <c r="J187" s="131" t="s">
        <v>535</v>
      </c>
      <c r="K187" s="132"/>
      <c r="L187" s="132"/>
      <c r="M187" s="150" t="s">
        <v>515</v>
      </c>
      <c r="N187" s="150">
        <v>30</v>
      </c>
      <c r="O187" s="150">
        <v>25</v>
      </c>
      <c r="P187" s="135">
        <f>(4*Mt___0+Int)/5</f>
        <v>75</v>
      </c>
      <c r="Q187" s="135">
        <f>IF(P187&lt;50,450-6*P187,IF(P187&lt;100,250-2*P187,75-P187/4))</f>
        <v>100</v>
      </c>
      <c r="R187" s="569">
        <f>Q187*O187/100</f>
        <v>25</v>
      </c>
      <c r="S187" s="120"/>
      <c r="T187" s="578"/>
      <c r="V187" s="572" t="s">
        <v>518</v>
      </c>
      <c r="W187" s="153"/>
      <c r="X187" s="140">
        <f>IF(W187&gt;0,INDEX(lerntab___0,W187,1),0)</f>
        <v>0</v>
      </c>
      <c r="Y187" s="141">
        <f>ROUND(X187*I179,0)</f>
        <v>0</v>
      </c>
      <c r="Z187" s="579"/>
      <c r="AA187" s="574">
        <f>IF(Z187&gt;0,INDEX(lerntab___0,Z187,1),0)</f>
        <v>0</v>
      </c>
      <c r="AB187" s="131" t="s">
        <v>535</v>
      </c>
      <c r="AC187" s="323"/>
      <c r="AD187" s="211"/>
      <c r="AE187" s="153"/>
      <c r="AF187" s="575">
        <f>IF(AE187&gt;0,INDEX(lerntab___0,AE187,1),0)</f>
        <v>0</v>
      </c>
      <c r="AG187" s="576">
        <f>ROUND(AF187*R187,0)</f>
        <v>0</v>
      </c>
      <c r="AI187" s="166"/>
      <c r="AJ187" s="139"/>
      <c r="AK187" s="175"/>
      <c r="AN187" s="146">
        <f>IF(LEFT(D187,1)="A",Y187,0)</f>
        <v>0</v>
      </c>
      <c r="AO187" s="146">
        <f>IF(LEFT(D187,1)="K",Y187,0)</f>
        <v>0</v>
      </c>
      <c r="AP187" s="146">
        <f>IF(LEFT(D187,1)="M",Y187,0)</f>
        <v>0</v>
      </c>
      <c r="AQ187" s="548"/>
      <c r="AR187" s="146">
        <f>IF(LEFT(M187,1)="A",AG187,0)</f>
        <v>0</v>
      </c>
      <c r="AS187" s="146">
        <f>IF(LEFT(M187,1)="K",AG187,0)</f>
        <v>0</v>
      </c>
      <c r="AT187" s="146">
        <f>IF(LEFT(M187,1)="M",AG187,0)</f>
        <v>0</v>
      </c>
      <c r="IU187"/>
      <c r="IV187"/>
    </row>
    <row r="188" spans="1:256" s="155" customFormat="1" ht="9.75" customHeight="1">
      <c r="A188" s="172" t="s">
        <v>534</v>
      </c>
      <c r="B188" s="173"/>
      <c r="C188" s="568" t="s">
        <v>49</v>
      </c>
      <c r="D188" s="150" t="s">
        <v>515</v>
      </c>
      <c r="E188" s="150">
        <f>E186</f>
        <v>-5</v>
      </c>
      <c r="F188" s="150">
        <v>35</v>
      </c>
      <c r="G188" s="135">
        <f>(3*Mt___0+2*Kom)/5</f>
        <v>75</v>
      </c>
      <c r="H188" s="135">
        <f>IF(G188&lt;50,450-6*G188,IF(G188&lt;100,250-2*G188,75-G188/4))</f>
        <v>100</v>
      </c>
      <c r="I188" s="136">
        <f>H188*F188/100</f>
        <v>35</v>
      </c>
      <c r="J188" s="131" t="s">
        <v>536</v>
      </c>
      <c r="K188" s="132"/>
      <c r="L188" s="132"/>
      <c r="M188" s="150" t="s">
        <v>515</v>
      </c>
      <c r="N188" s="150">
        <v>30</v>
      </c>
      <c r="O188" s="150">
        <v>25</v>
      </c>
      <c r="P188" s="135">
        <f>(4*Mt___0+Int)/5</f>
        <v>75</v>
      </c>
      <c r="Q188" s="135">
        <f>IF(P188&lt;50,450-6*P188,IF(P188&lt;100,250-2*P188,75-P188/4))</f>
        <v>100</v>
      </c>
      <c r="R188" s="569">
        <f>Q188*O188/100</f>
        <v>25</v>
      </c>
      <c r="S188" s="120"/>
      <c r="T188" s="570" t="s">
        <v>532</v>
      </c>
      <c r="U188" s="571"/>
      <c r="V188" s="572" t="s">
        <v>49</v>
      </c>
      <c r="W188" s="153"/>
      <c r="X188" s="140">
        <f>IF(W188&gt;0,INDEX(lerntab___0,W188,1),0)</f>
        <v>0</v>
      </c>
      <c r="Y188" s="141">
        <f>ROUND((X188+AA188/3+AA189/2)*I186,0)</f>
        <v>0</v>
      </c>
      <c r="Z188" s="573"/>
      <c r="AA188" s="574">
        <f>IF(Z188&gt;0,INDEX(lerntab___0,Z188,1),0)</f>
        <v>0</v>
      </c>
      <c r="AB188" s="131" t="s">
        <v>536</v>
      </c>
      <c r="AC188" s="323"/>
      <c r="AD188" s="323"/>
      <c r="AE188" s="153"/>
      <c r="AF188" s="575">
        <f>IF(AE188&gt;0,INDEX(lerntab___0,AE188,1),0)</f>
        <v>0</v>
      </c>
      <c r="AG188" s="576">
        <f>ROUND(AF188*R188,0)</f>
        <v>0</v>
      </c>
      <c r="AI188" s="166"/>
      <c r="AJ188" s="139"/>
      <c r="AK188" s="175"/>
      <c r="AN188" s="146">
        <f>IF(LEFT(D188,1)="A",Y188,0)</f>
        <v>0</v>
      </c>
      <c r="AO188" s="146">
        <f>IF(LEFT(D188,1)="K",Y188,0)</f>
        <v>0</v>
      </c>
      <c r="AP188" s="146">
        <f>IF(LEFT(D188,1)="M",Y188,0)</f>
        <v>0</v>
      </c>
      <c r="AQ188" s="548"/>
      <c r="AR188" s="146">
        <f>IF(LEFT(M188,1)="A",AG188,0)</f>
        <v>0</v>
      </c>
      <c r="AS188" s="146">
        <f>IF(LEFT(M188,1)="K",AG188,0)</f>
        <v>0</v>
      </c>
      <c r="AT188" s="146">
        <f>IF(LEFT(M188,1)="M",AG188,0)</f>
        <v>0</v>
      </c>
      <c r="IU188"/>
      <c r="IV188"/>
    </row>
    <row r="189" spans="1:256" s="155" customFormat="1" ht="9.75" customHeight="1">
      <c r="A189" s="577"/>
      <c r="B189" s="6"/>
      <c r="C189" s="568" t="s">
        <v>518</v>
      </c>
      <c r="D189" s="150" t="s">
        <v>519</v>
      </c>
      <c r="E189" s="150" t="s">
        <v>433</v>
      </c>
      <c r="F189" s="150">
        <v>20</v>
      </c>
      <c r="G189" s="135">
        <f>(3*Mt___0+2*Kom)/5</f>
        <v>75</v>
      </c>
      <c r="H189" s="135">
        <f>IF(G189&lt;50,450-6*G189,IF(G189&lt;100,250-2*G189,75-G189/4))</f>
        <v>100</v>
      </c>
      <c r="I189" s="136">
        <f>H189*F189/100</f>
        <v>20</v>
      </c>
      <c r="J189" s="131" t="s">
        <v>537</v>
      </c>
      <c r="K189" s="132"/>
      <c r="L189" s="132"/>
      <c r="M189" s="150" t="s">
        <v>515</v>
      </c>
      <c r="N189" s="150">
        <v>30</v>
      </c>
      <c r="O189" s="150">
        <v>25</v>
      </c>
      <c r="P189" s="135">
        <f>(4*Mt___0+Int)/5</f>
        <v>75</v>
      </c>
      <c r="Q189" s="135">
        <f>IF(P189&lt;50,450-6*P189,IF(P189&lt;100,250-2*P189,75-P189/4))</f>
        <v>100</v>
      </c>
      <c r="R189" s="569">
        <f>Q189*O189/100</f>
        <v>25</v>
      </c>
      <c r="S189" s="120"/>
      <c r="T189" s="578"/>
      <c r="V189" s="572" t="s">
        <v>518</v>
      </c>
      <c r="W189" s="153"/>
      <c r="X189" s="140">
        <f>IF(W189&gt;0,INDEX(lerntab___0,W189,1),0)</f>
        <v>0</v>
      </c>
      <c r="Y189" s="141">
        <f>ROUND(X189*I187,0)</f>
        <v>0</v>
      </c>
      <c r="Z189" s="579"/>
      <c r="AA189" s="574">
        <f>IF(Z189&gt;0,INDEX(lerntab___0,Z189,1),0)</f>
        <v>0</v>
      </c>
      <c r="AB189" s="131" t="s">
        <v>537</v>
      </c>
      <c r="AC189" s="323"/>
      <c r="AD189" s="211"/>
      <c r="AE189" s="153"/>
      <c r="AF189" s="575">
        <f>IF(AE189&gt;0,INDEX(lerntab___0,AE189,1),0)</f>
        <v>0</v>
      </c>
      <c r="AG189" s="576">
        <f>ROUND(AF189*R189,0)</f>
        <v>0</v>
      </c>
      <c r="AI189" s="166"/>
      <c r="AJ189" s="139"/>
      <c r="AK189" s="175"/>
      <c r="AN189" s="146">
        <f>IF(LEFT(D189,1)="A",Y189,0)</f>
        <v>0</v>
      </c>
      <c r="AO189" s="146">
        <f>IF(LEFT(D189,1)="K",Y189,0)</f>
        <v>0</v>
      </c>
      <c r="AP189" s="146">
        <f>IF(LEFT(D189,1)="M",Y189,0)</f>
        <v>0</v>
      </c>
      <c r="AQ189" s="548"/>
      <c r="AR189" s="146">
        <f>IF(LEFT(M189,1)="A",AG189,0)</f>
        <v>0</v>
      </c>
      <c r="AS189" s="146">
        <f>IF(LEFT(M189,1)="K",AG189,0)</f>
        <v>0</v>
      </c>
      <c r="AT189" s="146">
        <f>IF(LEFT(M189,1)="M",AG189,0)</f>
        <v>0</v>
      </c>
      <c r="IU189"/>
      <c r="IV189"/>
    </row>
    <row r="190" spans="1:256" s="155" customFormat="1" ht="9.75" customHeight="1">
      <c r="A190" s="172" t="s">
        <v>538</v>
      </c>
      <c r="B190" s="173"/>
      <c r="C190" s="568" t="s">
        <v>49</v>
      </c>
      <c r="D190" s="150" t="s">
        <v>515</v>
      </c>
      <c r="E190" s="150">
        <f>E188</f>
        <v>-5</v>
      </c>
      <c r="F190" s="150">
        <v>30</v>
      </c>
      <c r="G190" s="135">
        <f>(3*Mt___0+2*Kom)/5</f>
        <v>75</v>
      </c>
      <c r="H190" s="135">
        <f>IF(G190&lt;50,450-6*G190,IF(G190&lt;100,250-2*G190,75-G190/4))</f>
        <v>100</v>
      </c>
      <c r="I190" s="136">
        <f>H190*F190/100</f>
        <v>30</v>
      </c>
      <c r="J190" s="131" t="s">
        <v>539</v>
      </c>
      <c r="K190" s="132"/>
      <c r="L190" s="132"/>
      <c r="M190" s="150" t="s">
        <v>515</v>
      </c>
      <c r="N190" s="150">
        <v>30</v>
      </c>
      <c r="O190" s="150">
        <v>25</v>
      </c>
      <c r="P190" s="135">
        <f>(4*Mt___0+Int)/5</f>
        <v>75</v>
      </c>
      <c r="Q190" s="135">
        <f>IF(P190&lt;50,450-6*P190,IF(P190&lt;100,250-2*P190,75-P190/4))</f>
        <v>100</v>
      </c>
      <c r="R190" s="569">
        <f>Q190*O190/100</f>
        <v>25</v>
      </c>
      <c r="S190" s="120"/>
      <c r="T190" s="570" t="s">
        <v>540</v>
      </c>
      <c r="U190" s="571"/>
      <c r="V190" s="572" t="s">
        <v>49</v>
      </c>
      <c r="W190" s="153"/>
      <c r="X190" s="140">
        <f>IF(W190&gt;0,INDEX(lerntab___0,W190,1),0)</f>
        <v>0</v>
      </c>
      <c r="Y190" s="141">
        <f>ROUND((X190+AA190/3+AA191/2)*I190,0)</f>
        <v>0</v>
      </c>
      <c r="Z190" s="573"/>
      <c r="AA190" s="574">
        <f>IF(Z190&gt;0,INDEX(lerntab___0,Z190,1),0)</f>
        <v>0</v>
      </c>
      <c r="AB190" s="131" t="s">
        <v>539</v>
      </c>
      <c r="AC190" s="323"/>
      <c r="AD190" s="323"/>
      <c r="AE190" s="153"/>
      <c r="AF190" s="575">
        <f>IF(AE190&gt;0,INDEX(lerntab___0,AE190,1),0)</f>
        <v>0</v>
      </c>
      <c r="AG190" s="576">
        <f>ROUND(AF190*R190,0)</f>
        <v>0</v>
      </c>
      <c r="AI190" s="166"/>
      <c r="AJ190" s="139"/>
      <c r="AK190" s="175"/>
      <c r="AN190" s="146">
        <f>IF(LEFT(D190,1)="A",Y190,0)</f>
        <v>0</v>
      </c>
      <c r="AO190" s="146">
        <f>IF(LEFT(D190,1)="K",Y190,0)</f>
        <v>0</v>
      </c>
      <c r="AP190" s="146">
        <f>IF(LEFT(D190,1)="M",Y190,0)</f>
        <v>0</v>
      </c>
      <c r="AQ190" s="548"/>
      <c r="AR190" s="146">
        <f>IF(LEFT(M190,1)="A",AG190,0)</f>
        <v>0</v>
      </c>
      <c r="AS190" s="146">
        <f>IF(LEFT(M190,1)="K",AG190,0)</f>
        <v>0</v>
      </c>
      <c r="AT190" s="146">
        <f>IF(LEFT(M190,1)="M",AG190,0)</f>
        <v>0</v>
      </c>
      <c r="IU190"/>
      <c r="IV190"/>
    </row>
    <row r="191" spans="1:256" s="155" customFormat="1" ht="9.75" customHeight="1">
      <c r="A191" s="577"/>
      <c r="B191" s="6"/>
      <c r="C191" s="568" t="s">
        <v>518</v>
      </c>
      <c r="D191" s="150" t="s">
        <v>519</v>
      </c>
      <c r="E191" s="150" t="s">
        <v>433</v>
      </c>
      <c r="F191" s="150">
        <v>25</v>
      </c>
      <c r="G191" s="135">
        <f>(3*Mt___0+2*Kom)/5</f>
        <v>75</v>
      </c>
      <c r="H191" s="135">
        <f>IF(G191&lt;50,450-6*G191,IF(G191&lt;100,250-2*G191,75-G191/4))</f>
        <v>100</v>
      </c>
      <c r="I191" s="136">
        <f>H191*F191/100</f>
        <v>25</v>
      </c>
      <c r="J191" s="479" t="s">
        <v>541</v>
      </c>
      <c r="K191" s="132"/>
      <c r="L191" s="132"/>
      <c r="M191" s="314"/>
      <c r="N191" s="314"/>
      <c r="O191" s="314"/>
      <c r="P191" s="490"/>
      <c r="Q191" s="490"/>
      <c r="R191" s="130"/>
      <c r="S191" s="120"/>
      <c r="T191" s="578"/>
      <c r="V191" s="572" t="s">
        <v>518</v>
      </c>
      <c r="W191" s="153"/>
      <c r="X191" s="140">
        <f>IF(W191&gt;0,INDEX(lerntab___0,W191,1),0)</f>
        <v>0</v>
      </c>
      <c r="Y191" s="141">
        <f>ROUND(X191*I191,0)</f>
        <v>0</v>
      </c>
      <c r="Z191" s="579"/>
      <c r="AA191" s="574">
        <f>IF(Z191&gt;0,INDEX(lerntab___0,Z191,1),0)</f>
        <v>0</v>
      </c>
      <c r="AB191" s="479" t="s">
        <v>541</v>
      </c>
      <c r="AC191" s="323"/>
      <c r="AD191" s="323"/>
      <c r="AE191" s="566"/>
      <c r="AF191" s="566"/>
      <c r="AG191" s="567"/>
      <c r="AI191" s="166"/>
      <c r="AJ191" s="139"/>
      <c r="AK191" s="175"/>
      <c r="AN191" s="146">
        <f>IF(LEFT(D191,1)="A",Y191,0)</f>
        <v>0</v>
      </c>
      <c r="AO191" s="146">
        <f>IF(LEFT(D191,1)="K",Y191,0)</f>
        <v>0</v>
      </c>
      <c r="AP191" s="146">
        <f>IF(LEFT(D191,1)="M",Y191,0)</f>
        <v>0</v>
      </c>
      <c r="AQ191" s="548"/>
      <c r="AR191" s="146">
        <f>IF(LEFT(M191,1)="A",AG191,0)</f>
        <v>0</v>
      </c>
      <c r="AS191" s="146">
        <f>IF(LEFT(M191,1)="K",AG191,0)</f>
        <v>0</v>
      </c>
      <c r="AT191" s="146">
        <f>IF(LEFT(M191,1)="M",AG191,0)</f>
        <v>0</v>
      </c>
      <c r="IU191"/>
      <c r="IV191"/>
    </row>
    <row r="192" spans="1:256" s="155" customFormat="1" ht="9.75" customHeight="1">
      <c r="A192" s="172" t="s">
        <v>540</v>
      </c>
      <c r="B192" s="173"/>
      <c r="C192" s="568" t="s">
        <v>49</v>
      </c>
      <c r="D192" s="150" t="s">
        <v>515</v>
      </c>
      <c r="E192" s="150">
        <f>E190</f>
        <v>-5</v>
      </c>
      <c r="F192" s="150">
        <v>70</v>
      </c>
      <c r="G192" s="135">
        <f>(3*Mt___0+2*Kom)/5</f>
        <v>75</v>
      </c>
      <c r="H192" s="135">
        <f>IF(G192&lt;50,450-6*G192,IF(G192&lt;100,250-2*G192,75-G192/4))</f>
        <v>100</v>
      </c>
      <c r="I192" s="136">
        <f>H192*F192/100</f>
        <v>70</v>
      </c>
      <c r="J192" s="131" t="s">
        <v>542</v>
      </c>
      <c r="K192" s="132"/>
      <c r="L192" s="132"/>
      <c r="M192" s="150" t="s">
        <v>515</v>
      </c>
      <c r="N192" s="150">
        <v>30</v>
      </c>
      <c r="O192" s="150">
        <v>35</v>
      </c>
      <c r="P192" s="135">
        <f>(4*Mt___0+Int)/5</f>
        <v>75</v>
      </c>
      <c r="Q192" s="135">
        <f>IF(P192&lt;50,450-6*P192,IF(P192&lt;100,250-2*P192,75-P192/4))</f>
        <v>100</v>
      </c>
      <c r="R192" s="569">
        <f>Q192*O192/100</f>
        <v>35</v>
      </c>
      <c r="S192" s="120"/>
      <c r="T192" s="570" t="s">
        <v>538</v>
      </c>
      <c r="U192" s="571"/>
      <c r="V192" s="572" t="s">
        <v>49</v>
      </c>
      <c r="W192" s="153"/>
      <c r="X192" s="140">
        <f>IF(W192&gt;0,INDEX(lerntab___0,W192,1),0)</f>
        <v>0</v>
      </c>
      <c r="Y192" s="141">
        <f>ROUND((X192+AA192/3+AA193/2)*I190,0)</f>
        <v>0</v>
      </c>
      <c r="Z192" s="573"/>
      <c r="AA192" s="574">
        <f>IF(Z192&gt;0,INDEX(lerntab___0,Z192,1),0)</f>
        <v>0</v>
      </c>
      <c r="AB192" s="131" t="s">
        <v>542</v>
      </c>
      <c r="AC192" s="323"/>
      <c r="AD192" s="323"/>
      <c r="AE192" s="153"/>
      <c r="AF192" s="575">
        <f>IF(AE192&gt;0,INDEX(lerntab___0,AE192,1),0)</f>
        <v>0</v>
      </c>
      <c r="AG192" s="576">
        <f>ROUND(AF192*R192,0)</f>
        <v>0</v>
      </c>
      <c r="AI192" s="166"/>
      <c r="AJ192" s="139"/>
      <c r="AK192" s="175"/>
      <c r="AN192" s="146">
        <f>IF(LEFT(D192,1)="A",Y192,0)</f>
        <v>0</v>
      </c>
      <c r="AO192" s="146">
        <f>IF(LEFT(D192,1)="K",Y192,0)</f>
        <v>0</v>
      </c>
      <c r="AP192" s="146">
        <f>IF(LEFT(D192,1)="M",Y192,0)</f>
        <v>0</v>
      </c>
      <c r="AQ192" s="548"/>
      <c r="AR192" s="146">
        <f>IF(LEFT(M192,1)="A",AG192,0)</f>
        <v>0</v>
      </c>
      <c r="AS192" s="146">
        <f>IF(LEFT(M192,1)="K",AG192,0)</f>
        <v>0</v>
      </c>
      <c r="AT192" s="146">
        <f>IF(LEFT(M192,1)="M",AG192,0)</f>
        <v>0</v>
      </c>
      <c r="IU192"/>
      <c r="IV192"/>
    </row>
    <row r="193" spans="1:256" s="155" customFormat="1" ht="9.75" customHeight="1">
      <c r="A193" s="577"/>
      <c r="B193" s="6"/>
      <c r="C193" s="568" t="s">
        <v>518</v>
      </c>
      <c r="D193" s="150" t="s">
        <v>519</v>
      </c>
      <c r="E193" s="150" t="s">
        <v>433</v>
      </c>
      <c r="F193" s="150">
        <v>30</v>
      </c>
      <c r="G193" s="135">
        <f>(3*Mt___0+2*Kom)/5</f>
        <v>75</v>
      </c>
      <c r="H193" s="135">
        <f>IF(G193&lt;50,450-6*G193,IF(G193&lt;100,250-2*G193,75-G193/4))</f>
        <v>100</v>
      </c>
      <c r="I193" s="136">
        <f>H193*F193/100</f>
        <v>30</v>
      </c>
      <c r="J193" s="131" t="s">
        <v>543</v>
      </c>
      <c r="K193" s="132"/>
      <c r="L193" s="132"/>
      <c r="M193" s="150" t="s">
        <v>515</v>
      </c>
      <c r="N193" s="150">
        <v>30</v>
      </c>
      <c r="O193" s="150">
        <v>35</v>
      </c>
      <c r="P193" s="135">
        <f>(4*Mt___0+Int)/5</f>
        <v>75</v>
      </c>
      <c r="Q193" s="135">
        <f>IF(P193&lt;50,450-6*P193,IF(P193&lt;100,250-2*P193,75-P193/4))</f>
        <v>100</v>
      </c>
      <c r="R193" s="569">
        <f>Q193*O193/100</f>
        <v>35</v>
      </c>
      <c r="S193" s="120"/>
      <c r="T193" s="578"/>
      <c r="V193" s="572" t="s">
        <v>518</v>
      </c>
      <c r="W193" s="153"/>
      <c r="X193" s="140">
        <f>IF(W193&gt;0,INDEX(lerntab___0,W193,1),0)</f>
        <v>0</v>
      </c>
      <c r="Y193" s="141">
        <f>ROUND(X193*I191,0)</f>
        <v>0</v>
      </c>
      <c r="Z193" s="579"/>
      <c r="AA193" s="574">
        <f>IF(Z193&gt;0,INDEX(lerntab___0,Z193,1),0)</f>
        <v>0</v>
      </c>
      <c r="AB193" s="131" t="s">
        <v>543</v>
      </c>
      <c r="AC193" s="323"/>
      <c r="AD193" s="323"/>
      <c r="AE193" s="153"/>
      <c r="AF193" s="575">
        <f>IF(AE193&gt;0,INDEX(lerntab___0,AE193,1),0)</f>
        <v>0</v>
      </c>
      <c r="AG193" s="576">
        <f>ROUND(AF193*R193,0)</f>
        <v>0</v>
      </c>
      <c r="AH193" s="580"/>
      <c r="AI193" s="166"/>
      <c r="AJ193" s="139"/>
      <c r="AK193" s="175"/>
      <c r="AN193" s="146">
        <f>IF(LEFT(D193,1)="A",Y193,0)</f>
        <v>0</v>
      </c>
      <c r="AO193" s="146">
        <f>IF(LEFT(D193,1)="K",Y193,0)</f>
        <v>0</v>
      </c>
      <c r="AP193" s="146">
        <f>IF(LEFT(D193,1)="M",Y193,0)</f>
        <v>0</v>
      </c>
      <c r="AQ193" s="548"/>
      <c r="AR193" s="146">
        <f>IF(LEFT(M193,1)="A",AG193,0)</f>
        <v>0</v>
      </c>
      <c r="AS193" s="146">
        <f>IF(LEFT(M193,1)="K",AG193,0)</f>
        <v>0</v>
      </c>
      <c r="AT193" s="146">
        <f>IF(LEFT(M193,1)="M",AG193,0)</f>
        <v>0</v>
      </c>
      <c r="IU193"/>
      <c r="IV193"/>
    </row>
    <row r="194" spans="1:256" s="155" customFormat="1" ht="9.75" customHeight="1">
      <c r="A194" s="172" t="s">
        <v>544</v>
      </c>
      <c r="B194" s="173"/>
      <c r="C194" s="568" t="s">
        <v>49</v>
      </c>
      <c r="D194" s="150" t="s">
        <v>515</v>
      </c>
      <c r="E194" s="150">
        <f>E192</f>
        <v>-5</v>
      </c>
      <c r="F194" s="150">
        <v>35</v>
      </c>
      <c r="G194" s="135">
        <f>(3*Mt___0+2*Kom)/5</f>
        <v>75</v>
      </c>
      <c r="H194" s="135">
        <f>IF(G194&lt;50,450-6*G194,IF(G194&lt;100,250-2*G194,75-G194/4))</f>
        <v>100</v>
      </c>
      <c r="I194" s="136">
        <f>H194*F194/100</f>
        <v>35</v>
      </c>
      <c r="J194" s="131" t="s">
        <v>545</v>
      </c>
      <c r="K194" s="132"/>
      <c r="L194" s="132"/>
      <c r="M194" s="150" t="s">
        <v>515</v>
      </c>
      <c r="N194" s="150">
        <v>30</v>
      </c>
      <c r="O194" s="150">
        <v>35</v>
      </c>
      <c r="P194" s="135">
        <f>(4*Mt___0+Int)/5</f>
        <v>75</v>
      </c>
      <c r="Q194" s="135">
        <f>IF(P194&lt;50,450-6*P194,IF(P194&lt;100,250-2*P194,75-P194/4))</f>
        <v>100</v>
      </c>
      <c r="R194" s="569">
        <f>Q194*O194/100</f>
        <v>35</v>
      </c>
      <c r="S194" s="120"/>
      <c r="T194" s="570" t="s">
        <v>544</v>
      </c>
      <c r="U194" s="571"/>
      <c r="V194" s="572" t="s">
        <v>49</v>
      </c>
      <c r="W194" s="153"/>
      <c r="X194" s="140">
        <f>IF(W194&gt;0,INDEX(lerntab___0,W194,1),0)</f>
        <v>0</v>
      </c>
      <c r="Y194" s="141">
        <f>ROUND((X194+AA194/3+AA195/2)*I194,0)</f>
        <v>0</v>
      </c>
      <c r="Z194" s="573"/>
      <c r="AA194" s="574">
        <f>IF(Z194&gt;0,INDEX(lerntab___0,Z194,1),0)</f>
        <v>0</v>
      </c>
      <c r="AB194" s="131" t="s">
        <v>545</v>
      </c>
      <c r="AC194" s="323"/>
      <c r="AD194" s="323"/>
      <c r="AE194" s="153"/>
      <c r="AF194" s="575">
        <f>IF(AE194&gt;0,INDEX(lerntab___0,AE194,1),0)</f>
        <v>0</v>
      </c>
      <c r="AG194" s="576">
        <f>ROUND(AF194*R194,0)</f>
        <v>0</v>
      </c>
      <c r="AI194" s="166"/>
      <c r="AJ194" s="139"/>
      <c r="AK194" s="175"/>
      <c r="AN194" s="146">
        <f>IF(LEFT(D194,1)="A",Y194,0)</f>
        <v>0</v>
      </c>
      <c r="AO194" s="146">
        <f>IF(LEFT(D194,1)="K",Y194,0)</f>
        <v>0</v>
      </c>
      <c r="AP194" s="146">
        <f>IF(LEFT(D194,1)="M",Y194,0)</f>
        <v>0</v>
      </c>
      <c r="AQ194" s="548"/>
      <c r="AR194" s="146">
        <f>IF(LEFT(M194,1)="A",AG194,0)</f>
        <v>0</v>
      </c>
      <c r="AS194" s="146">
        <f>IF(LEFT(M194,1)="K",AG194,0)</f>
        <v>0</v>
      </c>
      <c r="AT194" s="146">
        <f>IF(LEFT(M194,1)="M",AG194,0)</f>
        <v>0</v>
      </c>
      <c r="IU194"/>
      <c r="IV194"/>
    </row>
    <row r="195" spans="1:256" s="155" customFormat="1" ht="9.75" customHeight="1">
      <c r="A195" s="577"/>
      <c r="B195" s="6"/>
      <c r="C195" s="568" t="s">
        <v>518</v>
      </c>
      <c r="D195" s="150" t="s">
        <v>519</v>
      </c>
      <c r="E195" s="150" t="s">
        <v>433</v>
      </c>
      <c r="F195" s="150">
        <v>20</v>
      </c>
      <c r="G195" s="135">
        <f>(3*Mt___0+2*Kom)/5</f>
        <v>75</v>
      </c>
      <c r="H195" s="135">
        <f>IF(G195&lt;50,450-6*G195,IF(G195&lt;100,250-2*G195,75-G195/4))</f>
        <v>100</v>
      </c>
      <c r="I195" s="136">
        <f>H195*F195/100</f>
        <v>20</v>
      </c>
      <c r="J195" s="131" t="s">
        <v>546</v>
      </c>
      <c r="K195" s="132"/>
      <c r="L195" s="132"/>
      <c r="M195" s="150" t="s">
        <v>515</v>
      </c>
      <c r="N195" s="150">
        <v>30</v>
      </c>
      <c r="O195" s="150">
        <v>35</v>
      </c>
      <c r="P195" s="135">
        <f>(4*Mt___0+Int)/5</f>
        <v>75</v>
      </c>
      <c r="Q195" s="135">
        <f>IF(P195&lt;50,450-6*P195,IF(P195&lt;100,250-2*P195,75-P195/4))</f>
        <v>100</v>
      </c>
      <c r="R195" s="569">
        <f>Q195*O195/100</f>
        <v>35</v>
      </c>
      <c r="S195" s="120"/>
      <c r="T195" s="578"/>
      <c r="V195" s="572" t="s">
        <v>518</v>
      </c>
      <c r="W195" s="153"/>
      <c r="X195" s="140">
        <f>IF(W195&gt;0,INDEX(lerntab___0,W195,1),0)</f>
        <v>0</v>
      </c>
      <c r="Y195" s="141">
        <f>ROUND(X195*I195,0)</f>
        <v>0</v>
      </c>
      <c r="Z195" s="579"/>
      <c r="AA195" s="574">
        <f>IF(Z195&gt;0,INDEX(lerntab___0,Z195,1),0)</f>
        <v>0</v>
      </c>
      <c r="AB195" s="131" t="s">
        <v>546</v>
      </c>
      <c r="AC195" s="323"/>
      <c r="AD195" s="323"/>
      <c r="AE195" s="153"/>
      <c r="AF195" s="575">
        <f>IF(AE195&gt;0,INDEX(lerntab___0,AE195,1),0)</f>
        <v>0</v>
      </c>
      <c r="AG195" s="576">
        <f>ROUND(AF195*R195,0)</f>
        <v>0</v>
      </c>
      <c r="AH195" s="120"/>
      <c r="AI195" s="166"/>
      <c r="AJ195" s="139"/>
      <c r="AK195" s="175"/>
      <c r="AN195" s="146">
        <f>IF(LEFT(D195,1)="A",Y195,0)</f>
        <v>0</v>
      </c>
      <c r="AO195" s="146">
        <f>IF(LEFT(D195,1)="K",Y195,0)</f>
        <v>0</v>
      </c>
      <c r="AP195" s="146">
        <f>IF(LEFT(D195,1)="M",Y195,0)</f>
        <v>0</v>
      </c>
      <c r="AQ195" s="548"/>
      <c r="AR195" s="146">
        <f>IF(LEFT(M195,1)="A",AG195,0)</f>
        <v>0</v>
      </c>
      <c r="AS195" s="146">
        <f>IF(LEFT(M195,1)="K",AG195,0)</f>
        <v>0</v>
      </c>
      <c r="AT195" s="146">
        <f>IF(LEFT(M195,1)="M",AG195,0)</f>
        <v>0</v>
      </c>
      <c r="IU195"/>
      <c r="IV195"/>
    </row>
    <row r="196" spans="1:256" s="155" customFormat="1" ht="9.75" customHeight="1">
      <c r="A196" s="172" t="s">
        <v>547</v>
      </c>
      <c r="B196" s="173"/>
      <c r="C196" s="568" t="s">
        <v>49</v>
      </c>
      <c r="D196" s="150" t="s">
        <v>515</v>
      </c>
      <c r="E196" s="150">
        <f>E194</f>
        <v>-5</v>
      </c>
      <c r="F196" s="150">
        <v>65</v>
      </c>
      <c r="G196" s="135">
        <f>(3*Mt___0+2*Kom)/5</f>
        <v>75</v>
      </c>
      <c r="H196" s="135">
        <f>IF(G196&lt;50,450-6*G196,IF(G196&lt;100,250-2*G196,75-G196/4))</f>
        <v>100</v>
      </c>
      <c r="I196" s="136">
        <f>H196*F196/100</f>
        <v>65</v>
      </c>
      <c r="J196" s="479" t="s">
        <v>548</v>
      </c>
      <c r="K196" s="132"/>
      <c r="L196" s="132"/>
      <c r="M196" s="314"/>
      <c r="N196" s="314"/>
      <c r="O196" s="314"/>
      <c r="P196" s="490"/>
      <c r="Q196" s="490"/>
      <c r="R196" s="130"/>
      <c r="S196" s="120"/>
      <c r="T196" s="570" t="s">
        <v>547</v>
      </c>
      <c r="U196" s="571"/>
      <c r="V196" s="572" t="s">
        <v>49</v>
      </c>
      <c r="W196" s="153"/>
      <c r="X196" s="140">
        <f>IF(W196&gt;0,INDEX(lerntab___0,W196,1),0)</f>
        <v>0</v>
      </c>
      <c r="Y196" s="141">
        <f>ROUND((X196+AA196/3+AA197/2)*I196,0)</f>
        <v>0</v>
      </c>
      <c r="Z196" s="573"/>
      <c r="AA196" s="574">
        <f>IF(Z196&gt;0,INDEX(lerntab___0,Z196,1),0)</f>
        <v>0</v>
      </c>
      <c r="AB196" s="479" t="s">
        <v>548</v>
      </c>
      <c r="AC196" s="323"/>
      <c r="AD196" s="323"/>
      <c r="AE196" s="566"/>
      <c r="AF196" s="566"/>
      <c r="AG196" s="567"/>
      <c r="AI196" s="166"/>
      <c r="AJ196" s="139"/>
      <c r="AK196" s="175"/>
      <c r="AN196" s="146">
        <f>IF(LEFT(D196,1)="A",Y196,0)</f>
        <v>0</v>
      </c>
      <c r="AO196" s="146">
        <f>IF(LEFT(D196,1)="K",Y196,0)</f>
        <v>0</v>
      </c>
      <c r="AP196" s="146">
        <f>IF(LEFT(D196,1)="M",Y196,0)</f>
        <v>0</v>
      </c>
      <c r="AQ196" s="548"/>
      <c r="AR196" s="146">
        <f>IF(LEFT(M196,1)="A",AG196,0)</f>
        <v>0</v>
      </c>
      <c r="AS196" s="146">
        <f>IF(LEFT(M196,1)="K",AG196,0)</f>
        <v>0</v>
      </c>
      <c r="AT196" s="146">
        <f>IF(LEFT(M196,1)="M",AG196,0)</f>
        <v>0</v>
      </c>
      <c r="IU196"/>
      <c r="IV196"/>
    </row>
    <row r="197" spans="1:256" s="155" customFormat="1" ht="9.75" customHeight="1">
      <c r="A197" s="577"/>
      <c r="B197" s="6"/>
      <c r="C197" s="568" t="s">
        <v>518</v>
      </c>
      <c r="D197" s="150" t="s">
        <v>519</v>
      </c>
      <c r="E197" s="150" t="s">
        <v>433</v>
      </c>
      <c r="F197" s="150">
        <v>35</v>
      </c>
      <c r="G197" s="135">
        <f>(3*Mt___0+2*Kom)/5</f>
        <v>75</v>
      </c>
      <c r="H197" s="135">
        <f>IF(G197&lt;50,450-6*G197,IF(G197&lt;100,250-2*G197,75-G197/4))</f>
        <v>100</v>
      </c>
      <c r="I197" s="136">
        <f>H197*F197/100</f>
        <v>35</v>
      </c>
      <c r="J197" s="131" t="s">
        <v>549</v>
      </c>
      <c r="K197" s="132"/>
      <c r="L197" s="132"/>
      <c r="M197" s="150" t="s">
        <v>515</v>
      </c>
      <c r="N197" s="150">
        <v>30</v>
      </c>
      <c r="O197" s="150">
        <v>60</v>
      </c>
      <c r="P197" s="135">
        <f>(4*Mt___0+Int)/5</f>
        <v>75</v>
      </c>
      <c r="Q197" s="135">
        <f>IF(P197&lt;50,450-6*P197,IF(P197&lt;100,250-2*P197,75-P197/4))</f>
        <v>100</v>
      </c>
      <c r="R197" s="569">
        <f>Q197*O197/100</f>
        <v>60</v>
      </c>
      <c r="S197" s="120"/>
      <c r="T197" s="578"/>
      <c r="V197" s="572" t="s">
        <v>518</v>
      </c>
      <c r="W197" s="153"/>
      <c r="X197" s="140">
        <f>IF(W197&gt;0,INDEX(lerntab___0,W197,1),0)</f>
        <v>0</v>
      </c>
      <c r="Y197" s="141">
        <f>ROUND(X197*I197,0)</f>
        <v>0</v>
      </c>
      <c r="Z197" s="579"/>
      <c r="AA197" s="574">
        <f>IF(Z197&gt;0,INDEX(lerntab___0,Z197,1),0)</f>
        <v>0</v>
      </c>
      <c r="AB197" s="131" t="s">
        <v>549</v>
      </c>
      <c r="AC197" s="323"/>
      <c r="AD197" s="323"/>
      <c r="AE197" s="153"/>
      <c r="AF197" s="575">
        <f>IF(AE197&gt;0,INDEX(lerntab___0,AE197,1),0)</f>
        <v>0</v>
      </c>
      <c r="AG197" s="576">
        <f>ROUND(AF197*R197,0)</f>
        <v>0</v>
      </c>
      <c r="AI197" s="166"/>
      <c r="AJ197" s="139"/>
      <c r="AK197" s="175"/>
      <c r="AN197" s="146">
        <f>IF(LEFT(D197,1)="A",Y197,0)</f>
        <v>0</v>
      </c>
      <c r="AO197" s="146">
        <f>IF(LEFT(D197,1)="K",Y197,0)</f>
        <v>0</v>
      </c>
      <c r="AP197" s="146">
        <f>IF(LEFT(D197,1)="M",Y197,0)</f>
        <v>0</v>
      </c>
      <c r="AQ197" s="548"/>
      <c r="AR197" s="146">
        <f>IF(LEFT(M197,1)="A",AG197,0)</f>
        <v>0</v>
      </c>
      <c r="AS197" s="146">
        <f>IF(LEFT(M197,1)="K",AG197,0)</f>
        <v>0</v>
      </c>
      <c r="AT197" s="146">
        <f>IF(LEFT(M197,1)="M",AG197,0)</f>
        <v>0</v>
      </c>
      <c r="IU197"/>
      <c r="IV197"/>
    </row>
    <row r="198" spans="1:256" s="155" customFormat="1" ht="9.75" customHeight="1">
      <c r="A198" s="172" t="s">
        <v>550</v>
      </c>
      <c r="B198" s="173"/>
      <c r="C198" s="568" t="s">
        <v>49</v>
      </c>
      <c r="D198" s="150" t="s">
        <v>515</v>
      </c>
      <c r="E198" s="150">
        <f>E196</f>
        <v>-5</v>
      </c>
      <c r="F198" s="150">
        <v>60</v>
      </c>
      <c r="G198" s="135">
        <f>(3*Mt___0+2*Kom)/5</f>
        <v>75</v>
      </c>
      <c r="H198" s="135">
        <f>IF(G198&lt;50,450-6*G198,IF(G198&lt;100,250-2*G198,75-G198/4))</f>
        <v>100</v>
      </c>
      <c r="I198" s="136">
        <f>H198*F198/100</f>
        <v>60</v>
      </c>
      <c r="J198" s="131" t="s">
        <v>551</v>
      </c>
      <c r="K198" s="132"/>
      <c r="L198" s="132"/>
      <c r="M198" s="150" t="s">
        <v>515</v>
      </c>
      <c r="N198" s="150">
        <v>30</v>
      </c>
      <c r="O198" s="150">
        <v>60</v>
      </c>
      <c r="P198" s="135">
        <f>(4*Mt___0+Int)/5</f>
        <v>75</v>
      </c>
      <c r="Q198" s="135">
        <f>IF(P198&lt;50,450-6*P198,IF(P198&lt;100,250-2*P198,75-P198/4))</f>
        <v>100</v>
      </c>
      <c r="R198" s="569">
        <f>Q198*O198/100</f>
        <v>60</v>
      </c>
      <c r="S198" s="120"/>
      <c r="T198" s="570" t="s">
        <v>550</v>
      </c>
      <c r="U198" s="571"/>
      <c r="V198" s="572" t="s">
        <v>49</v>
      </c>
      <c r="W198" s="153"/>
      <c r="X198" s="140">
        <f>IF(W198&gt;0,INDEX(lerntab___0,W198,1),0)</f>
        <v>0</v>
      </c>
      <c r="Y198" s="141">
        <f>ROUND((X198+AA198/3+AA199/2)*I198,0)</f>
        <v>0</v>
      </c>
      <c r="Z198" s="573"/>
      <c r="AA198" s="574">
        <f>IF(Z198&gt;0,INDEX(lerntab___0,Z198,1),0)</f>
        <v>0</v>
      </c>
      <c r="AB198" s="131" t="s">
        <v>551</v>
      </c>
      <c r="AC198" s="323"/>
      <c r="AD198" s="323"/>
      <c r="AE198" s="153"/>
      <c r="AF198" s="575">
        <f>IF(AE198&gt;0,INDEX(lerntab___0,AE198,1),0)</f>
        <v>0</v>
      </c>
      <c r="AG198" s="576">
        <f>ROUND(AF198*R198,0)</f>
        <v>0</v>
      </c>
      <c r="AI198" s="166"/>
      <c r="AJ198" s="139"/>
      <c r="AK198" s="175"/>
      <c r="AN198" s="146">
        <f>IF(LEFT(D198,1)="A",Y198,0)</f>
        <v>0</v>
      </c>
      <c r="AO198" s="146">
        <f>IF(LEFT(D198,1)="K",Y198,0)</f>
        <v>0</v>
      </c>
      <c r="AP198" s="146">
        <f>IF(LEFT(D198,1)="M",Y198,0)</f>
        <v>0</v>
      </c>
      <c r="AQ198" s="548"/>
      <c r="AR198" s="146">
        <f>IF(LEFT(M198,1)="A",AG198,0)</f>
        <v>0</v>
      </c>
      <c r="AS198" s="146">
        <f>IF(LEFT(M198,1)="K",AG198,0)</f>
        <v>0</v>
      </c>
      <c r="AT198" s="146">
        <f>IF(LEFT(M198,1)="M",AG198,0)</f>
        <v>0</v>
      </c>
      <c r="IU198"/>
      <c r="IV198"/>
    </row>
    <row r="199" spans="1:256" s="155" customFormat="1" ht="9.75" customHeight="1">
      <c r="A199" s="577"/>
      <c r="B199" s="6"/>
      <c r="C199" s="568" t="s">
        <v>518</v>
      </c>
      <c r="D199" s="150" t="s">
        <v>519</v>
      </c>
      <c r="E199" s="150" t="s">
        <v>433</v>
      </c>
      <c r="F199" s="150">
        <v>35</v>
      </c>
      <c r="G199" s="135">
        <f>(3*Mt___0+2*Kom)/5</f>
        <v>75</v>
      </c>
      <c r="H199" s="135">
        <f>IF(G199&lt;50,450-6*G199,IF(G199&lt;100,250-2*G199,75-G199/4))</f>
        <v>100</v>
      </c>
      <c r="I199" s="136">
        <f>H199*F199/100</f>
        <v>35</v>
      </c>
      <c r="J199" s="479" t="s">
        <v>552</v>
      </c>
      <c r="K199" s="132"/>
      <c r="L199" s="132"/>
      <c r="M199" s="314"/>
      <c r="N199" s="314"/>
      <c r="O199" s="314"/>
      <c r="P199" s="490"/>
      <c r="Q199" s="490"/>
      <c r="R199" s="130"/>
      <c r="S199" s="120"/>
      <c r="T199" s="578"/>
      <c r="V199" s="572" t="s">
        <v>518</v>
      </c>
      <c r="W199" s="153"/>
      <c r="X199" s="140">
        <f>IF(W199&gt;0,INDEX(lerntab___0,W199,1),0)</f>
        <v>0</v>
      </c>
      <c r="Y199" s="141">
        <f>ROUND(X199*I199,0)</f>
        <v>0</v>
      </c>
      <c r="Z199" s="579"/>
      <c r="AA199" s="574">
        <f>IF(Z199&gt;0,INDEX(lerntab___0,Z199,1),0)</f>
        <v>0</v>
      </c>
      <c r="AB199" s="479" t="s">
        <v>552</v>
      </c>
      <c r="AC199" s="323"/>
      <c r="AD199" s="323"/>
      <c r="AE199" s="566"/>
      <c r="AF199" s="566"/>
      <c r="AG199" s="567"/>
      <c r="AI199" s="166"/>
      <c r="AJ199" s="139"/>
      <c r="AK199" s="175"/>
      <c r="AN199" s="146">
        <f>IF(LEFT(D199,1)="A",Y199,0)</f>
        <v>0</v>
      </c>
      <c r="AO199" s="146">
        <f>IF(LEFT(D199,1)="K",Y199,0)</f>
        <v>0</v>
      </c>
      <c r="AP199" s="146">
        <f>IF(LEFT(D199,1)="M",Y199,0)</f>
        <v>0</v>
      </c>
      <c r="AQ199" s="548"/>
      <c r="AR199" s="146">
        <f>IF(LEFT(M199,1)="A",AG199,0)</f>
        <v>0</v>
      </c>
      <c r="AS199" s="146">
        <f>IF(LEFT(M199,1)="K",AG199,0)</f>
        <v>0</v>
      </c>
      <c r="AT199" s="146">
        <f>IF(LEFT(M199,1)="M",AG199,0)</f>
        <v>0</v>
      </c>
      <c r="IU199"/>
      <c r="IV199"/>
    </row>
    <row r="200" spans="1:256" s="155" customFormat="1" ht="9.75" customHeight="1">
      <c r="A200" s="172" t="s">
        <v>553</v>
      </c>
      <c r="B200" s="173"/>
      <c r="C200" s="568" t="s">
        <v>49</v>
      </c>
      <c r="D200" s="150" t="s">
        <v>515</v>
      </c>
      <c r="E200" s="150">
        <f>E198</f>
        <v>-5</v>
      </c>
      <c r="F200" s="150">
        <v>90</v>
      </c>
      <c r="G200" s="135">
        <f>(3*Mt___0+2*Kom)/5</f>
        <v>75</v>
      </c>
      <c r="H200" s="135">
        <f>IF(G200&lt;50,450-6*G200,IF(G200&lt;100,250-2*G200,75-G200/4))</f>
        <v>100</v>
      </c>
      <c r="I200" s="136">
        <f>H200*F200/100</f>
        <v>90</v>
      </c>
      <c r="J200" s="131" t="s">
        <v>554</v>
      </c>
      <c r="K200" s="132"/>
      <c r="L200" s="132"/>
      <c r="M200" s="150" t="s">
        <v>515</v>
      </c>
      <c r="N200" s="150">
        <v>30</v>
      </c>
      <c r="O200" s="150">
        <v>70</v>
      </c>
      <c r="P200" s="135">
        <f>(4*Mt___0+Int)/5</f>
        <v>75</v>
      </c>
      <c r="Q200" s="135">
        <f>IF(P200&lt;50,450-6*P200,IF(P200&lt;100,250-2*P200,75-P200/4))</f>
        <v>100</v>
      </c>
      <c r="R200" s="569">
        <f>Q200*O200/100</f>
        <v>70</v>
      </c>
      <c r="S200" s="120"/>
      <c r="T200" s="570" t="s">
        <v>553</v>
      </c>
      <c r="U200" s="571"/>
      <c r="V200" s="572" t="s">
        <v>49</v>
      </c>
      <c r="W200" s="153"/>
      <c r="X200" s="140">
        <f>IF(W200&gt;0,INDEX(lerntab___0,W200,1),0)</f>
        <v>0</v>
      </c>
      <c r="Y200" s="141">
        <f>ROUND((X200+AA200/3+AA201/2)*I200,0)</f>
        <v>0</v>
      </c>
      <c r="Z200" s="581"/>
      <c r="AA200" s="574">
        <f>IF(Z200&gt;0,INDEX(lerntab___0,Z200,1),0)</f>
        <v>0</v>
      </c>
      <c r="AB200" s="131" t="s">
        <v>554</v>
      </c>
      <c r="AC200" s="323"/>
      <c r="AD200" s="323"/>
      <c r="AE200" s="153"/>
      <c r="AF200" s="575">
        <f>IF(AE200&gt;0,INDEX(lerntab___0,AE200,1),0)</f>
        <v>0</v>
      </c>
      <c r="AG200" s="576">
        <f>ROUND(AF200*R200,0)</f>
        <v>0</v>
      </c>
      <c r="AI200" s="166"/>
      <c r="AJ200" s="139"/>
      <c r="AK200" s="175"/>
      <c r="AN200" s="146">
        <f>IF(LEFT(D200,1)="A",Y200,0)</f>
        <v>0</v>
      </c>
      <c r="AO200" s="146">
        <f>IF(LEFT(D200,1)="K",Y200,0)</f>
        <v>0</v>
      </c>
      <c r="AP200" s="146">
        <f>IF(LEFT(D200,1)="M",Y200,0)</f>
        <v>0</v>
      </c>
      <c r="AQ200" s="548"/>
      <c r="AR200" s="146">
        <f>IF(LEFT(M200,1)="A",AG200,0)</f>
        <v>0</v>
      </c>
      <c r="AS200" s="146">
        <f>IF(LEFT(M200,1)="K",AG200,0)</f>
        <v>0</v>
      </c>
      <c r="AT200" s="146">
        <f>IF(LEFT(M200,1)="M",AG200,0)</f>
        <v>0</v>
      </c>
      <c r="IU200"/>
      <c r="IV200"/>
    </row>
    <row r="201" spans="1:256" s="155" customFormat="1" ht="9.75" customHeight="1">
      <c r="A201" s="582"/>
      <c r="B201" s="583"/>
      <c r="C201" s="568" t="s">
        <v>518</v>
      </c>
      <c r="D201" s="150" t="s">
        <v>519</v>
      </c>
      <c r="E201" s="150" t="s">
        <v>433</v>
      </c>
      <c r="F201" s="150">
        <v>45</v>
      </c>
      <c r="G201" s="135">
        <f>(3*Mt___0+2*Kom)/5</f>
        <v>75</v>
      </c>
      <c r="H201" s="135">
        <f>IF(G201&lt;50,450-6*G201,IF(G201&lt;100,250-2*G201,75-G201/4))</f>
        <v>100</v>
      </c>
      <c r="I201" s="136">
        <f>H201*F201/100</f>
        <v>45</v>
      </c>
      <c r="J201" s="131" t="s">
        <v>555</v>
      </c>
      <c r="K201" s="132"/>
      <c r="L201" s="132"/>
      <c r="M201" s="150" t="s">
        <v>515</v>
      </c>
      <c r="N201" s="150">
        <v>30</v>
      </c>
      <c r="O201" s="150">
        <v>70</v>
      </c>
      <c r="P201" s="135">
        <f>(4*Mt___0+Int)/5</f>
        <v>75</v>
      </c>
      <c r="Q201" s="135">
        <f>IF(P201&lt;50,450-6*P201,IF(P201&lt;100,250-2*P201,75-P201/4))</f>
        <v>100</v>
      </c>
      <c r="R201" s="569">
        <f>Q201*O201/100</f>
        <v>70</v>
      </c>
      <c r="T201" s="578"/>
      <c r="V201" s="572" t="s">
        <v>518</v>
      </c>
      <c r="W201" s="153"/>
      <c r="X201" s="140">
        <f>IF(W201&gt;0,INDEX(lerntab___0,W201,1),0)</f>
        <v>0</v>
      </c>
      <c r="Y201" s="141">
        <f>ROUND(X201*I201,0)</f>
        <v>0</v>
      </c>
      <c r="Z201" s="579"/>
      <c r="AA201" s="584">
        <f>IF(Z201&gt;0,INDEX(lerntab___0,Z201,1),0)</f>
        <v>0</v>
      </c>
      <c r="AB201" s="131" t="s">
        <v>555</v>
      </c>
      <c r="AC201" s="323"/>
      <c r="AD201" s="323"/>
      <c r="AE201" s="153"/>
      <c r="AF201" s="575">
        <f>IF(AE201&gt;0,INDEX(lerntab___0,AE201,1),0)</f>
        <v>0</v>
      </c>
      <c r="AG201" s="576">
        <f>ROUND(AF201*R201,0)</f>
        <v>0</v>
      </c>
      <c r="AI201" s="166"/>
      <c r="AJ201" s="139"/>
      <c r="AK201" s="175"/>
      <c r="AN201" s="146">
        <f>IF(LEFT(D201,1)="A",Y201,0)</f>
        <v>0</v>
      </c>
      <c r="AO201" s="146">
        <f>IF(LEFT(D201,1)="K",Y201,0)</f>
        <v>0</v>
      </c>
      <c r="AP201" s="146">
        <f>IF(LEFT(D201,1)="M",Y201,0)</f>
        <v>0</v>
      </c>
      <c r="AQ201" s="548"/>
      <c r="AR201" s="146">
        <f>IF(LEFT(M201,1)="A",AG201,0)</f>
        <v>0</v>
      </c>
      <c r="AS201" s="146">
        <f>IF(LEFT(M201,1)="K",AG201,0)</f>
        <v>0</v>
      </c>
      <c r="AT201" s="146">
        <f>IF(LEFT(M201,1)="M",AG201,0)</f>
        <v>0</v>
      </c>
      <c r="IU201"/>
      <c r="IV201"/>
    </row>
    <row r="202" spans="1:256" s="155" customFormat="1" ht="9.75" customHeight="1">
      <c r="A202" s="147" t="s">
        <v>556</v>
      </c>
      <c r="B202" s="148"/>
      <c r="C202" s="148"/>
      <c r="D202" s="150" t="s">
        <v>515</v>
      </c>
      <c r="E202" s="150">
        <v>10</v>
      </c>
      <c r="F202" s="150" t="s">
        <v>557</v>
      </c>
      <c r="G202" s="135">
        <f>(2*Mt___0+2*Kom+Int)/5</f>
        <v>75</v>
      </c>
      <c r="H202" s="135">
        <f>IF(G202&lt;50,450-6*G202,IF(G202&lt;100,250-2*G202,75-G202/4))</f>
        <v>100</v>
      </c>
      <c r="I202" s="136" t="s">
        <v>558</v>
      </c>
      <c r="J202" s="131" t="s">
        <v>559</v>
      </c>
      <c r="K202" s="132"/>
      <c r="L202" s="314"/>
      <c r="M202" s="150" t="s">
        <v>515</v>
      </c>
      <c r="N202" s="150">
        <v>30</v>
      </c>
      <c r="O202" s="150">
        <v>70</v>
      </c>
      <c r="P202" s="135">
        <f>(4*Mt___0+Int)/5</f>
        <v>75</v>
      </c>
      <c r="Q202" s="135">
        <f>IF(P202&lt;50,450-6*P202,IF(P202&lt;100,250-2*P202,75-P202/4))</f>
        <v>100</v>
      </c>
      <c r="R202" s="569">
        <f>Q202*O202/100</f>
        <v>70</v>
      </c>
      <c r="T202" s="585" t="s">
        <v>556</v>
      </c>
      <c r="U202" s="586"/>
      <c r="V202" s="586"/>
      <c r="W202" s="587"/>
      <c r="X202" s="497"/>
      <c r="Y202" s="498"/>
      <c r="Z202" s="210"/>
      <c r="AA202" s="210"/>
      <c r="AB202" s="131" t="s">
        <v>559</v>
      </c>
      <c r="AC202" s="323"/>
      <c r="AD202" s="323"/>
      <c r="AE202" s="153"/>
      <c r="AF202" s="575">
        <f>IF(AE202&gt;0,INDEX(lerntab___0,AE202,1),0)</f>
        <v>0</v>
      </c>
      <c r="AG202" s="576">
        <f>ROUND(AF202*R202,0)</f>
        <v>0</v>
      </c>
      <c r="AI202" s="166"/>
      <c r="AJ202" s="139"/>
      <c r="AK202" s="175"/>
      <c r="AN202" s="146">
        <f>IF(LEFT(D202,1)="A",Y202,0)</f>
        <v>0</v>
      </c>
      <c r="AO202" s="146">
        <f>IF(LEFT(D202,1)="K",Y202,0)</f>
        <v>0</v>
      </c>
      <c r="AP202" s="146">
        <f>IF(LEFT(D202,1)="M",Y202,0)</f>
        <v>0</v>
      </c>
      <c r="AQ202" s="548"/>
      <c r="AR202" s="146">
        <f>IF(LEFT(M202,1)="A",AG202,0)</f>
        <v>0</v>
      </c>
      <c r="AS202" s="146">
        <f>IF(LEFT(M202,1)="K",AG202,0)</f>
        <v>0</v>
      </c>
      <c r="AT202" s="146">
        <f>IF(LEFT(M202,1)="M",AG202,0)</f>
        <v>0</v>
      </c>
      <c r="IU202"/>
      <c r="IV202"/>
    </row>
    <row r="203" spans="1:256" s="155" customFormat="1" ht="9.75" customHeight="1">
      <c r="A203" s="147" t="s">
        <v>560</v>
      </c>
      <c r="B203" s="148"/>
      <c r="C203" s="148"/>
      <c r="D203" s="150" t="s">
        <v>515</v>
      </c>
      <c r="E203" s="150">
        <v>30</v>
      </c>
      <c r="F203" s="150" t="s">
        <v>561</v>
      </c>
      <c r="G203" s="135">
        <f>(2*Mt___0+2*Kom+Int)/5</f>
        <v>75</v>
      </c>
      <c r="H203" s="135">
        <f>IF(G203&lt;50,450-6*G203,IF(G203&lt;100,250-2*G203,75-G203/4))</f>
        <v>100</v>
      </c>
      <c r="I203" s="136" t="s">
        <v>558</v>
      </c>
      <c r="J203" s="479" t="s">
        <v>562</v>
      </c>
      <c r="K203" s="132"/>
      <c r="L203" s="314"/>
      <c r="M203" s="132"/>
      <c r="N203" s="132"/>
      <c r="O203" s="132"/>
      <c r="P203" s="490"/>
      <c r="Q203" s="490"/>
      <c r="R203" s="130"/>
      <c r="T203" s="585" t="s">
        <v>560</v>
      </c>
      <c r="U203" s="586"/>
      <c r="V203" s="586"/>
      <c r="W203" s="587"/>
      <c r="X203" s="497"/>
      <c r="Y203" s="498"/>
      <c r="Z203" s="210"/>
      <c r="AA203" s="210"/>
      <c r="AB203" s="479" t="s">
        <v>562</v>
      </c>
      <c r="AC203" s="323"/>
      <c r="AD203" s="323"/>
      <c r="AE203" s="566"/>
      <c r="AF203" s="566"/>
      <c r="AG203" s="567"/>
      <c r="AI203" s="166"/>
      <c r="AJ203" s="139"/>
      <c r="AK203" s="175"/>
      <c r="AN203" s="146">
        <f>IF(LEFT(D203,1)="A",Y203,0)</f>
        <v>0</v>
      </c>
      <c r="AO203" s="146">
        <f>IF(LEFT(D203,1)="K",Y203,0)</f>
        <v>0</v>
      </c>
      <c r="AP203" s="146">
        <f>IF(LEFT(D203,1)="M",Y203,0)</f>
        <v>0</v>
      </c>
      <c r="AQ203" s="548"/>
      <c r="AR203" s="146">
        <f>IF(LEFT(M203,1)="A",AG203,0)</f>
        <v>0</v>
      </c>
      <c r="AS203" s="146">
        <f>IF(LEFT(M203,1)="K",AG203,0)</f>
        <v>0</v>
      </c>
      <c r="AT203" s="146">
        <f>IF(LEFT(M203,1)="M",AG203,0)</f>
        <v>0</v>
      </c>
      <c r="IU203"/>
      <c r="IV203"/>
    </row>
    <row r="204" spans="1:256" s="124" customFormat="1" ht="9.75" customHeight="1">
      <c r="A204" s="126" t="s">
        <v>563</v>
      </c>
      <c r="B204" s="211"/>
      <c r="C204" s="211"/>
      <c r="D204" s="129"/>
      <c r="E204" s="129"/>
      <c r="F204" s="212"/>
      <c r="G204" s="199"/>
      <c r="H204" s="199"/>
      <c r="I204" s="200"/>
      <c r="J204" s="131" t="s">
        <v>564</v>
      </c>
      <c r="K204" s="132"/>
      <c r="L204" s="314"/>
      <c r="M204" s="150" t="s">
        <v>515</v>
      </c>
      <c r="N204" s="150">
        <v>30</v>
      </c>
      <c r="O204" s="134">
        <v>90</v>
      </c>
      <c r="P204" s="135">
        <f>(4*Mt___0+Int)/5</f>
        <v>75</v>
      </c>
      <c r="Q204" s="135">
        <f>IF(P204&lt;50,450-6*P204,IF(P204&lt;100,250-2*P204,75-P204/4))</f>
        <v>100</v>
      </c>
      <c r="R204" s="569">
        <f>Q204*O204/100</f>
        <v>90</v>
      </c>
      <c r="S204" s="155"/>
      <c r="T204" s="126" t="s">
        <v>563</v>
      </c>
      <c r="U204" s="211"/>
      <c r="V204" s="211"/>
      <c r="W204" s="129"/>
      <c r="X204" s="182"/>
      <c r="Y204" s="183"/>
      <c r="Z204" s="210"/>
      <c r="AA204" s="210"/>
      <c r="AB204" s="131" t="s">
        <v>564</v>
      </c>
      <c r="AC204" s="323"/>
      <c r="AD204" s="323"/>
      <c r="AE204" s="153"/>
      <c r="AF204" s="575">
        <f>IF(AE204&gt;0,INDEX(lerntab___0,AE204,1),0)</f>
        <v>0</v>
      </c>
      <c r="AG204" s="576">
        <f>ROUND(AF204*R204,0)</f>
        <v>0</v>
      </c>
      <c r="AH204" s="155"/>
      <c r="AI204" s="166"/>
      <c r="AJ204" s="139"/>
      <c r="AK204" s="175"/>
      <c r="AL204" s="155"/>
      <c r="AM204" s="155"/>
      <c r="AN204" s="146">
        <f>IF(LEFT(D204,1)="A",Y204,0)</f>
        <v>0</v>
      </c>
      <c r="AO204" s="146">
        <f>IF(LEFT(D204,1)="K",Y204,0)</f>
        <v>0</v>
      </c>
      <c r="AP204" s="146">
        <f>IF(LEFT(D204,1)="M",Y204,0)</f>
        <v>0</v>
      </c>
      <c r="AQ204" s="548"/>
      <c r="AR204" s="146">
        <f>IF(LEFT(M204,1)="A",AG204,0)</f>
        <v>0</v>
      </c>
      <c r="AS204" s="146">
        <f>IF(LEFT(M204,1)="K",AG204,0)</f>
        <v>0</v>
      </c>
      <c r="AT204" s="146">
        <f>IF(LEFT(M204,1)="M",AG204,0)</f>
        <v>0</v>
      </c>
      <c r="IU204"/>
      <c r="IV204"/>
    </row>
    <row r="205" spans="1:256" s="155" customFormat="1" ht="9.75" customHeight="1">
      <c r="A205" s="147" t="s">
        <v>565</v>
      </c>
      <c r="B205" s="148"/>
      <c r="C205" s="149"/>
      <c r="D205" s="150" t="s">
        <v>566</v>
      </c>
      <c r="E205" s="150" t="s">
        <v>567</v>
      </c>
      <c r="F205" s="150">
        <v>120</v>
      </c>
      <c r="G205" s="135">
        <f>(2*Mt___0+2*Kom+Int)/5</f>
        <v>75</v>
      </c>
      <c r="H205" s="135">
        <f>IF(G205&lt;50,450-6*G205,IF(G205&lt;100,250-2*G205,75-G205/4))</f>
        <v>100</v>
      </c>
      <c r="I205" s="136">
        <f>H205*F205/100</f>
        <v>120</v>
      </c>
      <c r="J205" s="131" t="s">
        <v>568</v>
      </c>
      <c r="K205" s="132"/>
      <c r="L205" s="314"/>
      <c r="M205" s="150" t="s">
        <v>515</v>
      </c>
      <c r="N205" s="150">
        <v>30</v>
      </c>
      <c r="O205" s="134">
        <v>90</v>
      </c>
      <c r="P205" s="135">
        <f>(4*Mt___0+Int)/5</f>
        <v>75</v>
      </c>
      <c r="Q205" s="135">
        <f>IF(P205&lt;50,450-6*P205,IF(P205&lt;100,250-2*P205,75-P205/4))</f>
        <v>100</v>
      </c>
      <c r="R205" s="569">
        <f>Q205*O205/100</f>
        <v>90</v>
      </c>
      <c r="T205" s="147" t="s">
        <v>565</v>
      </c>
      <c r="U205" s="137"/>
      <c r="V205" s="138"/>
      <c r="W205" s="153"/>
      <c r="X205" s="140">
        <f>IF(W205&gt;0,INDEX(lerntab___0,W205,1),0)</f>
        <v>0</v>
      </c>
      <c r="Y205" s="141">
        <f>ROUND(X205*I205,0)</f>
        <v>0</v>
      </c>
      <c r="Z205" s="210"/>
      <c r="AA205" s="210"/>
      <c r="AB205" s="131" t="s">
        <v>568</v>
      </c>
      <c r="AC205" s="323"/>
      <c r="AD205" s="323"/>
      <c r="AE205" s="153"/>
      <c r="AF205" s="575">
        <f>IF(AE205&gt;0,INDEX(lerntab___0,AE205,1),0)</f>
        <v>0</v>
      </c>
      <c r="AG205" s="576">
        <f>ROUND(AF205*R205,0)</f>
        <v>0</v>
      </c>
      <c r="AI205" s="166"/>
      <c r="AJ205" s="139"/>
      <c r="AK205" s="175"/>
      <c r="AN205" s="146">
        <f>IF(LEFT(D205,1)="A",Y205,0)</f>
        <v>0</v>
      </c>
      <c r="AO205" s="146">
        <f>IF(LEFT(D205,1)="K",Y205,0)</f>
        <v>0</v>
      </c>
      <c r="AP205" s="146">
        <f>IF(LEFT(D205,1)="M",Y205,0)</f>
        <v>0</v>
      </c>
      <c r="AQ205" s="548"/>
      <c r="AR205" s="146">
        <f>IF(LEFT(M205,1)="A",AG205,0)</f>
        <v>0</v>
      </c>
      <c r="AS205" s="146">
        <f>IF(LEFT(M205,1)="K",AG205,0)</f>
        <v>0</v>
      </c>
      <c r="AT205" s="146">
        <f>IF(LEFT(M205,1)="M",AG205,0)</f>
        <v>0</v>
      </c>
      <c r="IU205"/>
      <c r="IV205"/>
    </row>
    <row r="206" spans="1:256" s="155" customFormat="1" ht="9.75" customHeight="1">
      <c r="A206" s="147" t="s">
        <v>569</v>
      </c>
      <c r="B206" s="148"/>
      <c r="C206" s="149"/>
      <c r="D206" s="150" t="s">
        <v>566</v>
      </c>
      <c r="E206" s="150" t="s">
        <v>567</v>
      </c>
      <c r="F206" s="150">
        <v>50</v>
      </c>
      <c r="G206" s="135">
        <f>(4*Mt___0+Int)/5</f>
        <v>75</v>
      </c>
      <c r="H206" s="135">
        <f>IF(G206&lt;50,450-6*G206,IF(G206&lt;100,250-2*G206,75-G206/4))</f>
        <v>100</v>
      </c>
      <c r="I206" s="136">
        <f>H206*F206/100</f>
        <v>50</v>
      </c>
      <c r="J206" s="588" t="s">
        <v>570</v>
      </c>
      <c r="K206" s="529"/>
      <c r="L206" s="337"/>
      <c r="M206" s="589" t="s">
        <v>515</v>
      </c>
      <c r="N206" s="589">
        <v>30</v>
      </c>
      <c r="O206" s="589">
        <v>90</v>
      </c>
      <c r="P206" s="514">
        <f>(4*Mt___0+Int)/5</f>
        <v>75</v>
      </c>
      <c r="Q206" s="514">
        <f>IF(P206&lt;50,450-6*P206,IF(P206&lt;100,250-2*P206,75-P206/4))</f>
        <v>100</v>
      </c>
      <c r="R206" s="590">
        <f>Q206*O206/100</f>
        <v>90</v>
      </c>
      <c r="T206" s="147" t="s">
        <v>569</v>
      </c>
      <c r="U206" s="137"/>
      <c r="V206" s="138"/>
      <c r="W206" s="153"/>
      <c r="X206" s="140">
        <f>IF(W206&gt;0,INDEX(lerntab___0,W206,1),0)</f>
        <v>0</v>
      </c>
      <c r="Y206" s="141">
        <f>ROUND(X206*I205,0)</f>
        <v>0</v>
      </c>
      <c r="Z206" s="210"/>
      <c r="AA206" s="210"/>
      <c r="AB206" s="588" t="s">
        <v>570</v>
      </c>
      <c r="AC206" s="591"/>
      <c r="AD206" s="591"/>
      <c r="AE206" s="592"/>
      <c r="AF206" s="593">
        <f>IF(AE206&gt;0,INDEX(lerntab___0,AE206,1),0)</f>
        <v>0</v>
      </c>
      <c r="AG206" s="594">
        <f>ROUND(AF206*R206,0)</f>
        <v>0</v>
      </c>
      <c r="AI206" s="166"/>
      <c r="AJ206" s="139"/>
      <c r="AK206" s="175"/>
      <c r="AN206" s="146">
        <f>IF(LEFT(D206,1)="A",Y206,0)</f>
        <v>0</v>
      </c>
      <c r="AO206" s="146">
        <f>IF(LEFT(D206,1)="K",Y206,0)</f>
        <v>0</v>
      </c>
      <c r="AP206" s="146">
        <f>IF(LEFT(D206,1)="M",Y206,0)</f>
        <v>0</v>
      </c>
      <c r="AQ206" s="548"/>
      <c r="AR206" s="146">
        <f>IF(LEFT(M206,1)="A",AG206,0)</f>
        <v>0</v>
      </c>
      <c r="AS206" s="146">
        <f>IF(LEFT(M206,1)="K",AG206,0)</f>
        <v>0</v>
      </c>
      <c r="AT206" s="146">
        <f>IF(LEFT(M206,1)="M",AG206,0)</f>
        <v>0</v>
      </c>
      <c r="IU206"/>
      <c r="IV206"/>
    </row>
    <row r="207" spans="1:256" s="155" customFormat="1" ht="9.75" customHeight="1">
      <c r="A207" s="147" t="s">
        <v>571</v>
      </c>
      <c r="B207" s="148"/>
      <c r="C207" s="149"/>
      <c r="D207" s="150" t="s">
        <v>566</v>
      </c>
      <c r="E207" s="150" t="s">
        <v>567</v>
      </c>
      <c r="F207" s="150">
        <v>50</v>
      </c>
      <c r="G207" s="135">
        <f>(4*Mt___0+Int)/5</f>
        <v>75</v>
      </c>
      <c r="H207" s="135">
        <f>IF(G207&lt;50,450-6*G207,IF(G207&lt;100,250-2*G207,75-G207/4))</f>
        <v>100</v>
      </c>
      <c r="I207" s="136">
        <f>H207*F207/100</f>
        <v>50</v>
      </c>
      <c r="J207" s="595" t="s">
        <v>572</v>
      </c>
      <c r="K207" s="596"/>
      <c r="L207" s="596"/>
      <c r="M207" s="562"/>
      <c r="N207" s="562"/>
      <c r="O207" s="562"/>
      <c r="P207" s="597"/>
      <c r="Q207" s="597"/>
      <c r="R207" s="598"/>
      <c r="T207" s="147" t="s">
        <v>571</v>
      </c>
      <c r="U207" s="137"/>
      <c r="V207" s="138"/>
      <c r="W207" s="153"/>
      <c r="X207" s="140">
        <f>IF(W207&gt;0,INDEX(lerntab___0,W207,1),0)</f>
        <v>0</v>
      </c>
      <c r="Y207" s="141">
        <f>ROUND(X207*I208,0)</f>
        <v>0</v>
      </c>
      <c r="Z207" s="210"/>
      <c r="AA207" s="210"/>
      <c r="AB207" s="595" t="s">
        <v>572</v>
      </c>
      <c r="AC207" s="596"/>
      <c r="AD207" s="599"/>
      <c r="AE207" s="600"/>
      <c r="AF207" s="600"/>
      <c r="AG207" s="601"/>
      <c r="AI207" s="166"/>
      <c r="AJ207" s="139"/>
      <c r="AK207" s="175"/>
      <c r="AN207" s="146">
        <f>IF(LEFT(D207,1)="A",Y207,0)</f>
        <v>0</v>
      </c>
      <c r="AO207" s="146">
        <f>IF(LEFT(D207,1)="K",Y207,0)</f>
        <v>0</v>
      </c>
      <c r="AP207" s="146">
        <f>IF(LEFT(D207,1)="M",Y207,0)</f>
        <v>0</v>
      </c>
      <c r="AQ207" s="548"/>
      <c r="AR207" s="146">
        <f>IF(LEFT(M207,1)="A",AG207,0)</f>
        <v>0</v>
      </c>
      <c r="AS207" s="146">
        <f>IF(LEFT(M207,1)="K",AG207,0)</f>
        <v>0</v>
      </c>
      <c r="AT207" s="146">
        <f>IF(LEFT(M207,1)="M",AG207,0)</f>
        <v>0</v>
      </c>
      <c r="IU207"/>
      <c r="IV207"/>
    </row>
    <row r="208" spans="1:256" s="155" customFormat="1" ht="9.75" customHeight="1">
      <c r="A208" s="147" t="s">
        <v>573</v>
      </c>
      <c r="B208" s="148"/>
      <c r="C208" s="149"/>
      <c r="D208" s="150" t="s">
        <v>566</v>
      </c>
      <c r="E208" s="150" t="s">
        <v>567</v>
      </c>
      <c r="F208" s="150">
        <v>70</v>
      </c>
      <c r="G208" s="135">
        <f>(4*Mt___0+Int)/5</f>
        <v>75</v>
      </c>
      <c r="H208" s="135">
        <f>IF(G208&lt;50,450-6*G208,IF(G208&lt;100,250-2*G208,75-G208/4))</f>
        <v>100</v>
      </c>
      <c r="I208" s="136">
        <f>H208*F208/100</f>
        <v>70</v>
      </c>
      <c r="J208" s="11" t="s">
        <v>574</v>
      </c>
      <c r="K208" s="482"/>
      <c r="L208" s="482"/>
      <c r="M208" s="566"/>
      <c r="N208" s="566"/>
      <c r="O208" s="566"/>
      <c r="P208" s="602"/>
      <c r="Q208" s="602"/>
      <c r="R208" s="603"/>
      <c r="T208" s="147" t="s">
        <v>573</v>
      </c>
      <c r="U208" s="137"/>
      <c r="V208" s="138"/>
      <c r="W208" s="153"/>
      <c r="X208" s="140">
        <f>IF(W208&gt;0,INDEX(lerntab___0,W208,1),0)</f>
        <v>0</v>
      </c>
      <c r="Y208" s="141">
        <f>ROUND(X208*I206,0)</f>
        <v>0</v>
      </c>
      <c r="Z208" s="210"/>
      <c r="AA208" s="210"/>
      <c r="AB208" s="11" t="s">
        <v>574</v>
      </c>
      <c r="AC208" s="482"/>
      <c r="AD208" s="323"/>
      <c r="AE208" s="566"/>
      <c r="AF208" s="566"/>
      <c r="AG208" s="567"/>
      <c r="AI208" s="166"/>
      <c r="AJ208" s="139"/>
      <c r="AK208" s="175"/>
      <c r="AL208" s="124"/>
      <c r="AM208" s="124"/>
      <c r="AN208" s="146">
        <f>IF(LEFT(D208,1)="A",Y208,0)</f>
        <v>0</v>
      </c>
      <c r="AO208" s="146">
        <f>IF(LEFT(D208,1)="K",Y208,0)</f>
        <v>0</v>
      </c>
      <c r="AP208" s="146">
        <f>IF(LEFT(D208,1)="M",Y208,0)</f>
        <v>0</v>
      </c>
      <c r="AQ208" s="548"/>
      <c r="AR208" s="146">
        <f>IF(LEFT(M208,1)="A",AG208,0)</f>
        <v>0</v>
      </c>
      <c r="AS208" s="146">
        <f>IF(LEFT(M208,1)="K",AG208,0)</f>
        <v>0</v>
      </c>
      <c r="AT208" s="146">
        <f>IF(LEFT(M208,1)="M",AG208,0)</f>
        <v>0</v>
      </c>
      <c r="IU208"/>
      <c r="IV208"/>
    </row>
    <row r="209" spans="1:256" s="155" customFormat="1" ht="9.75" customHeight="1">
      <c r="A209" s="147" t="s">
        <v>538</v>
      </c>
      <c r="B209" s="148"/>
      <c r="C209" s="149"/>
      <c r="D209" s="150" t="s">
        <v>566</v>
      </c>
      <c r="E209" s="150" t="s">
        <v>567</v>
      </c>
      <c r="F209" s="150">
        <v>50</v>
      </c>
      <c r="G209" s="135">
        <f>(4*Mt___0+Int)/5</f>
        <v>75</v>
      </c>
      <c r="H209" s="135">
        <f>IF(G209&lt;50,450-6*G209,IF(G209&lt;100,250-2*G209,75-G209/4))</f>
        <v>100</v>
      </c>
      <c r="I209" s="136">
        <f>H209*F209/100</f>
        <v>50</v>
      </c>
      <c r="J209" s="208" t="s">
        <v>575</v>
      </c>
      <c r="K209" s="480"/>
      <c r="L209" s="480"/>
      <c r="M209" s="171" t="s">
        <v>576</v>
      </c>
      <c r="N209" s="171">
        <v>30</v>
      </c>
      <c r="O209" s="171">
        <v>150</v>
      </c>
      <c r="P209" s="151">
        <f>(4*Mt___0+Int)/5</f>
        <v>75</v>
      </c>
      <c r="Q209" s="151">
        <f>IF(P209&lt;50,450-6*P209,IF(P209&lt;100,250-2*P209,75-P209/4))</f>
        <v>100</v>
      </c>
      <c r="R209" s="604">
        <f>Q209*O209/100</f>
        <v>150</v>
      </c>
      <c r="T209" s="147" t="s">
        <v>538</v>
      </c>
      <c r="U209" s="137"/>
      <c r="V209" s="138"/>
      <c r="W209" s="153"/>
      <c r="X209" s="140">
        <f>IF(W209&gt;0,INDEX(lerntab___0,W209,1),0)</f>
        <v>0</v>
      </c>
      <c r="Y209" s="141">
        <f>ROUND(X209*I209,0)</f>
        <v>0</v>
      </c>
      <c r="Z209" s="210"/>
      <c r="AA209" s="210"/>
      <c r="AB209" s="208" t="s">
        <v>575</v>
      </c>
      <c r="AC209" s="480"/>
      <c r="AD209" s="323"/>
      <c r="AE209" s="153"/>
      <c r="AF209" s="575">
        <f>IF(AE209&gt;0,INDEX(lerntab___0,AE209,1),0)</f>
        <v>0</v>
      </c>
      <c r="AG209" s="576">
        <f>ROUND(AF209*R209,0)</f>
        <v>0</v>
      </c>
      <c r="AI209" s="166"/>
      <c r="AJ209" s="203"/>
      <c r="AK209" s="204"/>
      <c r="AN209" s="146">
        <f>IF(LEFT(D209,1)="A",Y209,0)</f>
        <v>0</v>
      </c>
      <c r="AO209" s="146">
        <f>IF(LEFT(D209,1)="K",Y209,0)</f>
        <v>0</v>
      </c>
      <c r="AP209" s="146">
        <f>IF(LEFT(D209,1)="M",Y209,0)</f>
        <v>0</v>
      </c>
      <c r="AQ209" s="548"/>
      <c r="AR209" s="146">
        <f>IF(LEFT(M209,1)="A",AG209,0)</f>
        <v>0</v>
      </c>
      <c r="AS209" s="146">
        <f>IF(LEFT(M209,1)="K",AG209,0)</f>
        <v>0</v>
      </c>
      <c r="AT209" s="146">
        <f>IF(LEFT(M209,1)="M",AG209,0)</f>
        <v>0</v>
      </c>
      <c r="IU209"/>
      <c r="IV209"/>
    </row>
    <row r="210" spans="1:256" s="155" customFormat="1" ht="9.75" customHeight="1">
      <c r="A210" s="147" t="s">
        <v>577</v>
      </c>
      <c r="B210" s="148"/>
      <c r="C210" s="149"/>
      <c r="D210" s="150" t="s">
        <v>566</v>
      </c>
      <c r="E210" s="150" t="s">
        <v>567</v>
      </c>
      <c r="F210" s="150">
        <v>60</v>
      </c>
      <c r="G210" s="135">
        <f>(4*Mt___0+Int)/5</f>
        <v>75</v>
      </c>
      <c r="H210" s="135">
        <f>IF(G210&lt;50,450-6*G210,IF(G210&lt;100,250-2*G210,75-G210/4))</f>
        <v>100</v>
      </c>
      <c r="I210" s="136">
        <f>H210*F210/100</f>
        <v>60</v>
      </c>
      <c r="J210" s="208" t="s">
        <v>578</v>
      </c>
      <c r="K210" s="480"/>
      <c r="L210" s="480"/>
      <c r="M210" s="171" t="s">
        <v>576</v>
      </c>
      <c r="N210" s="171">
        <v>30</v>
      </c>
      <c r="O210" s="171">
        <v>25</v>
      </c>
      <c r="P210" s="151">
        <f>Mt___0</f>
        <v>75</v>
      </c>
      <c r="Q210" s="151">
        <f>IF(P210&lt;50,450-6*P210,IF(P210&lt;100,250-2*P210,75-P210/4))</f>
        <v>100</v>
      </c>
      <c r="R210" s="604">
        <f>Q210*O210/100</f>
        <v>25</v>
      </c>
      <c r="T210" s="147" t="s">
        <v>577</v>
      </c>
      <c r="U210" s="137"/>
      <c r="V210" s="138"/>
      <c r="W210" s="153"/>
      <c r="X210" s="140">
        <f>IF(W210&gt;0,INDEX(lerntab___0,W210,1),0)</f>
        <v>0</v>
      </c>
      <c r="Y210" s="141">
        <f>ROUND(X210*I210,0)</f>
        <v>0</v>
      </c>
      <c r="Z210" s="210"/>
      <c r="AA210" s="210"/>
      <c r="AB210" s="208" t="s">
        <v>578</v>
      </c>
      <c r="AC210" s="480"/>
      <c r="AD210" s="323"/>
      <c r="AE210" s="153"/>
      <c r="AF210" s="575">
        <f>IF(AE210&gt;0,INDEX(lerntab___0,AE210,1),0)</f>
        <v>0</v>
      </c>
      <c r="AG210" s="576">
        <f>ROUND(AF210*R210,0)</f>
        <v>0</v>
      </c>
      <c r="AI210" s="166"/>
      <c r="AJ210" s="139"/>
      <c r="AK210" s="175"/>
      <c r="AN210" s="146">
        <f>IF(LEFT(D210,1)="A",Y210,0)</f>
        <v>0</v>
      </c>
      <c r="AO210" s="146">
        <f>IF(LEFT(D210,1)="K",Y210,0)</f>
        <v>0</v>
      </c>
      <c r="AP210" s="146">
        <f>IF(LEFT(D210,1)="M",Y210,0)</f>
        <v>0</v>
      </c>
      <c r="AQ210" s="548"/>
      <c r="AR210" s="146">
        <f>IF(LEFT(M210,1)="A",AG210,0)</f>
        <v>0</v>
      </c>
      <c r="AS210" s="146">
        <f>IF(LEFT(M210,1)="K",AG210,0)</f>
        <v>0</v>
      </c>
      <c r="AT210" s="146">
        <f>IF(LEFT(M210,1)="M",AG210,0)</f>
        <v>0</v>
      </c>
      <c r="IU210"/>
      <c r="IV210"/>
    </row>
    <row r="211" spans="1:256" s="155" customFormat="1" ht="9.75" customHeight="1">
      <c r="A211" s="126" t="s">
        <v>579</v>
      </c>
      <c r="B211" s="211"/>
      <c r="C211" s="211"/>
      <c r="D211" s="129"/>
      <c r="E211" s="129"/>
      <c r="F211" s="212"/>
      <c r="G211" s="199"/>
      <c r="H211" s="199"/>
      <c r="I211" s="200"/>
      <c r="J211" s="208" t="s">
        <v>580</v>
      </c>
      <c r="K211" s="480"/>
      <c r="L211" s="480"/>
      <c r="M211" s="171" t="s">
        <v>576</v>
      </c>
      <c r="N211" s="171">
        <v>30</v>
      </c>
      <c r="O211" s="171">
        <v>50</v>
      </c>
      <c r="P211" s="151">
        <f>(2*Mt___0+3*Int)/5</f>
        <v>75</v>
      </c>
      <c r="Q211" s="151">
        <f>IF(P211&lt;50,450-6*P211,IF(P211&lt;100,250-2*P211,75-P211/4))</f>
        <v>100</v>
      </c>
      <c r="R211" s="604">
        <f>Q211*O211/100</f>
        <v>50</v>
      </c>
      <c r="T211" s="126" t="s">
        <v>579</v>
      </c>
      <c r="U211" s="211"/>
      <c r="V211" s="211"/>
      <c r="W211" s="605"/>
      <c r="X211" s="182"/>
      <c r="Y211" s="183"/>
      <c r="Z211" s="210"/>
      <c r="AA211" s="210"/>
      <c r="AB211" s="208" t="s">
        <v>580</v>
      </c>
      <c r="AC211" s="480"/>
      <c r="AD211" s="323"/>
      <c r="AE211" s="153"/>
      <c r="AF211" s="575">
        <f>IF(AE211&gt;0,INDEX(lerntab___0,AE211,1),0)</f>
        <v>0</v>
      </c>
      <c r="AG211" s="576">
        <f>ROUND(AF211*R211,0)</f>
        <v>0</v>
      </c>
      <c r="AI211" s="166"/>
      <c r="AJ211" s="139"/>
      <c r="AK211" s="175"/>
      <c r="AN211" s="146">
        <f>IF(LEFT(D211,1)="A",Y211,0)</f>
        <v>0</v>
      </c>
      <c r="AO211" s="146">
        <f>IF(LEFT(D211,1)="K",Y211,0)</f>
        <v>0</v>
      </c>
      <c r="AP211" s="146">
        <f>IF(LEFT(D211,1)="M",Y211,0)</f>
        <v>0</v>
      </c>
      <c r="AQ211" s="548"/>
      <c r="AR211" s="146">
        <f>IF(LEFT(M211,1)="A",AG211,0)</f>
        <v>0</v>
      </c>
      <c r="AS211" s="146">
        <f>IF(LEFT(M211,1)="K",AG211,0)</f>
        <v>0</v>
      </c>
      <c r="AT211" s="146">
        <f>IF(LEFT(M211,1)="M",AG211,0)</f>
        <v>0</v>
      </c>
      <c r="IU211"/>
      <c r="IV211"/>
    </row>
    <row r="212" spans="1:256" s="155" customFormat="1" ht="9.75" customHeight="1">
      <c r="A212" s="147" t="s">
        <v>581</v>
      </c>
      <c r="B212" s="148"/>
      <c r="C212" s="149"/>
      <c r="D212" s="150" t="s">
        <v>519</v>
      </c>
      <c r="E212" s="150" t="s">
        <v>567</v>
      </c>
      <c r="F212" s="150">
        <v>45</v>
      </c>
      <c r="G212" s="135">
        <f>(2*Mt___0+2*Kom+Int)/5</f>
        <v>75</v>
      </c>
      <c r="H212" s="135">
        <f>IF(G212&lt;50,450-6*G212,IF(G212&lt;100,250-2*G212,75-G212/4))</f>
        <v>100</v>
      </c>
      <c r="I212" s="136">
        <f>H212*F212/100</f>
        <v>45</v>
      </c>
      <c r="J212" s="208" t="s">
        <v>582</v>
      </c>
      <c r="K212" s="480"/>
      <c r="L212" s="480"/>
      <c r="M212" s="171" t="s">
        <v>576</v>
      </c>
      <c r="N212" s="171">
        <v>30</v>
      </c>
      <c r="O212" s="171">
        <v>75</v>
      </c>
      <c r="P212" s="151">
        <f>(2*Mt___0+3*Int)/5</f>
        <v>75</v>
      </c>
      <c r="Q212" s="151">
        <f>IF(P212&lt;50,450-6*P212,IF(P212&lt;100,250-2*P212,75-P212/4))</f>
        <v>100</v>
      </c>
      <c r="R212" s="604">
        <f>Q212*O212/100</f>
        <v>75</v>
      </c>
      <c r="T212" s="147" t="s">
        <v>581</v>
      </c>
      <c r="U212" s="137"/>
      <c r="V212" s="138"/>
      <c r="W212" s="153"/>
      <c r="X212" s="140">
        <f>IF(W212&gt;0,INDEX(lerntab___0,W212,1),0)</f>
        <v>0</v>
      </c>
      <c r="Y212" s="141">
        <f>ROUND(X212*I212,0)</f>
        <v>0</v>
      </c>
      <c r="Z212" s="210"/>
      <c r="AA212" s="210"/>
      <c r="AB212" s="208" t="s">
        <v>582</v>
      </c>
      <c r="AC212" s="480"/>
      <c r="AD212" s="323"/>
      <c r="AE212" s="153"/>
      <c r="AF212" s="575">
        <f>IF(AE212&gt;0,INDEX(lerntab___0,AE212,1),0)</f>
        <v>0</v>
      </c>
      <c r="AG212" s="576">
        <f>ROUND(AF212*R212,0)</f>
        <v>0</v>
      </c>
      <c r="AI212" s="166"/>
      <c r="AJ212" s="139"/>
      <c r="AK212" s="175"/>
      <c r="AN212" s="146">
        <f>IF(LEFT(D212,1)="A",Y212,0)</f>
        <v>0</v>
      </c>
      <c r="AO212" s="146">
        <f>IF(LEFT(D212,1)="K",Y212,0)</f>
        <v>0</v>
      </c>
      <c r="AP212" s="146">
        <f>IF(LEFT(D212,1)="M",Y212,0)</f>
        <v>0</v>
      </c>
      <c r="AQ212" s="548"/>
      <c r="AR212" s="146">
        <f>IF(LEFT(M212,1)="A",AG212,0)</f>
        <v>0</v>
      </c>
      <c r="AS212" s="146">
        <f>IF(LEFT(M212,1)="K",AG212,0)</f>
        <v>0</v>
      </c>
      <c r="AT212" s="146">
        <f>IF(LEFT(M212,1)="M",AG212,0)</f>
        <v>0</v>
      </c>
      <c r="IU212"/>
      <c r="IV212"/>
    </row>
    <row r="213" spans="1:256" s="580" customFormat="1" ht="9.75" customHeight="1">
      <c r="A213" s="147" t="s">
        <v>583</v>
      </c>
      <c r="B213" s="148"/>
      <c r="C213" s="148"/>
      <c r="D213" s="150" t="s">
        <v>519</v>
      </c>
      <c r="E213" s="150" t="s">
        <v>567</v>
      </c>
      <c r="F213" s="150">
        <v>45</v>
      </c>
      <c r="G213" s="135">
        <f>(2*Mt___0+2*Kom+Int)/5</f>
        <v>75</v>
      </c>
      <c r="H213" s="135">
        <f>IF(G213&lt;50,450-6*G213,IF(G213&lt;100,250-2*G213,75-G213/4))</f>
        <v>100</v>
      </c>
      <c r="I213" s="136">
        <f>H213*F213/100</f>
        <v>45</v>
      </c>
      <c r="J213" s="208" t="s">
        <v>584</v>
      </c>
      <c r="K213" s="480"/>
      <c r="L213" s="480"/>
      <c r="M213" s="171" t="s">
        <v>576</v>
      </c>
      <c r="N213" s="171">
        <v>30</v>
      </c>
      <c r="O213" s="171">
        <v>125</v>
      </c>
      <c r="P213" s="151">
        <f>(2*Mt___0+3*Int)/5</f>
        <v>75</v>
      </c>
      <c r="Q213" s="151">
        <f>IF(P213&lt;50,450-6*P213,IF(P213&lt;100,250-2*P213,75-P213/4))</f>
        <v>100</v>
      </c>
      <c r="R213" s="604">
        <f>Q213*O213/100</f>
        <v>125</v>
      </c>
      <c r="S213" s="155"/>
      <c r="T213" s="147" t="s">
        <v>583</v>
      </c>
      <c r="U213" s="137"/>
      <c r="V213" s="137"/>
      <c r="W213" s="153"/>
      <c r="X213" s="140">
        <f>IF(W213&gt;0,INDEX(lerntab___0,W213,1),0)</f>
        <v>0</v>
      </c>
      <c r="Y213" s="141">
        <f>ROUND(X213*I213,0)</f>
        <v>0</v>
      </c>
      <c r="Z213" s="210"/>
      <c r="AA213" s="210"/>
      <c r="AB213" s="208" t="s">
        <v>584</v>
      </c>
      <c r="AC213" s="480"/>
      <c r="AD213" s="323"/>
      <c r="AE213" s="153"/>
      <c r="AF213" s="575">
        <f>IF(AE213&gt;0,INDEX(lerntab___0,AE213,1),0)</f>
        <v>0</v>
      </c>
      <c r="AG213" s="576">
        <f>ROUND(AF213*R213,0)</f>
        <v>0</v>
      </c>
      <c r="AH213" s="155"/>
      <c r="AI213" s="166"/>
      <c r="AJ213" s="139"/>
      <c r="AK213" s="175"/>
      <c r="AL213" s="155"/>
      <c r="AM213" s="155"/>
      <c r="AN213" s="146">
        <f>IF(LEFT(D213,1)="A",Y213,0)</f>
        <v>0</v>
      </c>
      <c r="AO213" s="146">
        <f>IF(LEFT(D213,1)="K",Y213,0)</f>
        <v>0</v>
      </c>
      <c r="AP213" s="146">
        <f>IF(LEFT(D213,1)="M",Y213,0)</f>
        <v>0</v>
      </c>
      <c r="AQ213" s="548"/>
      <c r="AR213" s="146">
        <f>IF(LEFT(M213,1)="A",AG213,0)</f>
        <v>0</v>
      </c>
      <c r="AS213" s="146">
        <f>IF(LEFT(M213,1)="K",AG213,0)</f>
        <v>0</v>
      </c>
      <c r="AT213" s="146">
        <f>IF(LEFT(M213,1)="M",AG213,0)</f>
        <v>0</v>
      </c>
      <c r="IU213"/>
      <c r="IV213"/>
    </row>
    <row r="214" spans="1:256" s="155" customFormat="1" ht="9.75" customHeight="1">
      <c r="A214" s="147" t="s">
        <v>585</v>
      </c>
      <c r="B214" s="148"/>
      <c r="C214" s="148"/>
      <c r="D214" s="150" t="s">
        <v>519</v>
      </c>
      <c r="E214" s="150" t="s">
        <v>567</v>
      </c>
      <c r="F214" s="150">
        <v>45</v>
      </c>
      <c r="G214" s="135">
        <f>(2*Mt___0+2*Kom+Int)/5</f>
        <v>75</v>
      </c>
      <c r="H214" s="135">
        <f>IF(G214&lt;50,450-6*G214,IF(G214&lt;100,250-2*G214,75-G214/4))</f>
        <v>100</v>
      </c>
      <c r="I214" s="136">
        <f>H214*F214/100</f>
        <v>45</v>
      </c>
      <c r="J214" s="208" t="s">
        <v>586</v>
      </c>
      <c r="K214" s="480"/>
      <c r="L214" s="480"/>
      <c r="M214" s="171" t="s">
        <v>576</v>
      </c>
      <c r="N214" s="171">
        <v>30</v>
      </c>
      <c r="O214" s="171">
        <v>100</v>
      </c>
      <c r="P214" s="151">
        <f>(2*Mt___0+3*Int)/5</f>
        <v>75</v>
      </c>
      <c r="Q214" s="151">
        <f>IF(P214&lt;50,450-6*P214,IF(P214&lt;100,250-2*P214,75-P214/4))</f>
        <v>100</v>
      </c>
      <c r="R214" s="604">
        <f>Q214*O214/100</f>
        <v>100</v>
      </c>
      <c r="T214" s="147" t="s">
        <v>585</v>
      </c>
      <c r="U214" s="137"/>
      <c r="V214" s="137"/>
      <c r="W214" s="153"/>
      <c r="X214" s="140">
        <f>IF(W214&gt;0,INDEX(lerntab___0,W214,1),0)</f>
        <v>0</v>
      </c>
      <c r="Y214" s="141">
        <f>ROUND(X214*I214,0)</f>
        <v>0</v>
      </c>
      <c r="Z214" s="210"/>
      <c r="AA214" s="210"/>
      <c r="AB214" s="208" t="s">
        <v>586</v>
      </c>
      <c r="AC214" s="480"/>
      <c r="AD214" s="323"/>
      <c r="AE214" s="153"/>
      <c r="AF214" s="575">
        <f>IF(AE214&gt;0,INDEX(lerntab___0,AE214,1),0)</f>
        <v>0</v>
      </c>
      <c r="AG214" s="576">
        <f>ROUND(AF214*R214,0)</f>
        <v>0</v>
      </c>
      <c r="AI214" s="166"/>
      <c r="AJ214" s="139"/>
      <c r="AK214" s="175"/>
      <c r="AN214" s="146">
        <f>IF(LEFT(D214,1)="A",Y214,0)</f>
        <v>0</v>
      </c>
      <c r="AO214" s="146">
        <f>IF(LEFT(D214,1)="K",Y214,0)</f>
        <v>0</v>
      </c>
      <c r="AP214" s="146">
        <f>IF(LEFT(D214,1)="M",Y214,0)</f>
        <v>0</v>
      </c>
      <c r="AQ214" s="548"/>
      <c r="AR214" s="146">
        <f>IF(LEFT(M214,1)="A",AG214,0)</f>
        <v>0</v>
      </c>
      <c r="AS214" s="146">
        <f>IF(LEFT(M214,1)="K",AG214,0)</f>
        <v>0</v>
      </c>
      <c r="AT214" s="146">
        <f>IF(LEFT(M214,1)="M",AG214,0)</f>
        <v>0</v>
      </c>
      <c r="IU214"/>
      <c r="IV214"/>
    </row>
    <row r="215" spans="1:256" s="155" customFormat="1" ht="9.75" customHeight="1">
      <c r="A215" s="147" t="s">
        <v>587</v>
      </c>
      <c r="B215" s="148"/>
      <c r="C215" s="148"/>
      <c r="D215" s="150" t="s">
        <v>519</v>
      </c>
      <c r="E215" s="150" t="s">
        <v>567</v>
      </c>
      <c r="F215" s="150">
        <v>45</v>
      </c>
      <c r="G215" s="135">
        <f>(2*Mt___0+2*Kom+Int)/5</f>
        <v>75</v>
      </c>
      <c r="H215" s="135">
        <f>IF(G215&lt;50,450-6*G215,IF(G215&lt;100,250-2*G215,75-G215/4))</f>
        <v>100</v>
      </c>
      <c r="I215" s="136">
        <f>H215*F215/100</f>
        <v>45</v>
      </c>
      <c r="J215" s="606" t="s">
        <v>588</v>
      </c>
      <c r="K215" s="480"/>
      <c r="L215" s="480"/>
      <c r="M215" s="481"/>
      <c r="N215" s="481"/>
      <c r="O215" s="481"/>
      <c r="P215" s="505" t="s">
        <v>54</v>
      </c>
      <c r="Q215" s="505" t="s">
        <v>54</v>
      </c>
      <c r="R215" s="603" t="s">
        <v>54</v>
      </c>
      <c r="T215" s="147" t="s">
        <v>587</v>
      </c>
      <c r="U215" s="137"/>
      <c r="V215" s="137"/>
      <c r="W215" s="153"/>
      <c r="X215" s="140">
        <f>IF(W215&gt;0,INDEX(lerntab___0,W215,1),0)</f>
        <v>0</v>
      </c>
      <c r="Y215" s="141">
        <f>ROUND(X215*I215,0)</f>
        <v>0</v>
      </c>
      <c r="Z215" s="210"/>
      <c r="AA215" s="210"/>
      <c r="AB215" s="606" t="s">
        <v>588</v>
      </c>
      <c r="AC215" s="480"/>
      <c r="AD215" s="323"/>
      <c r="AE215" s="566"/>
      <c r="AF215" s="566"/>
      <c r="AG215" s="567"/>
      <c r="AI215" s="166"/>
      <c r="AJ215" s="139"/>
      <c r="AK215" s="175"/>
      <c r="AN215" s="146">
        <f>IF(LEFT(D215,1)="A",Y215,0)</f>
        <v>0</v>
      </c>
      <c r="AO215" s="146">
        <f>IF(LEFT(D215,1)="K",Y215,0)</f>
        <v>0</v>
      </c>
      <c r="AP215" s="146">
        <f>IF(LEFT(D215,1)="M",Y215,0)</f>
        <v>0</v>
      </c>
      <c r="AQ215" s="548"/>
      <c r="AR215" s="146">
        <f>IF(LEFT(M215,1)="A",AG215,0)</f>
        <v>0</v>
      </c>
      <c r="AS215" s="146">
        <f>IF(LEFT(M215,1)="K",AG215,0)</f>
        <v>0</v>
      </c>
      <c r="AT215" s="146">
        <f>IF(LEFT(M215,1)="M",AG215,0)</f>
        <v>0</v>
      </c>
      <c r="IU215"/>
      <c r="IV215"/>
    </row>
    <row r="216" spans="1:256" s="155" customFormat="1" ht="9.75" customHeight="1">
      <c r="A216" s="147" t="s">
        <v>589</v>
      </c>
      <c r="B216" s="148"/>
      <c r="C216" s="148"/>
      <c r="D216" s="150" t="s">
        <v>590</v>
      </c>
      <c r="E216" s="150" t="s">
        <v>567</v>
      </c>
      <c r="F216" s="150">
        <v>50</v>
      </c>
      <c r="G216" s="135">
        <f>(3*Mt___0+2*Kom)/5</f>
        <v>75</v>
      </c>
      <c r="H216" s="135">
        <f>IF(G216&lt;50,450-6*G216,IF(G216&lt;100,250-2*G216,75-G216/4))</f>
        <v>100</v>
      </c>
      <c r="I216" s="136">
        <f>H216*F216/100</f>
        <v>50</v>
      </c>
      <c r="J216" s="208" t="s">
        <v>591</v>
      </c>
      <c r="K216" s="480"/>
      <c r="L216" s="480"/>
      <c r="M216" s="171" t="s">
        <v>576</v>
      </c>
      <c r="N216" s="171">
        <v>30</v>
      </c>
      <c r="O216" s="171">
        <v>50</v>
      </c>
      <c r="P216" s="151">
        <f>(4*Mt___0+Int)/5</f>
        <v>75</v>
      </c>
      <c r="Q216" s="151">
        <f>IF(P216&lt;50,450-6*P216,IF(P216&lt;100,250-2*P216,75-P216/4))</f>
        <v>100</v>
      </c>
      <c r="R216" s="604">
        <f>Q216*O216/100</f>
        <v>50</v>
      </c>
      <c r="T216" s="147" t="s">
        <v>589</v>
      </c>
      <c r="U216" s="137"/>
      <c r="V216" s="137"/>
      <c r="W216" s="153"/>
      <c r="X216" s="140">
        <f>IF(W216&gt;0,INDEX(lerntab___0,W216,1),0)</f>
        <v>0</v>
      </c>
      <c r="Y216" s="141">
        <f>ROUND(X216*I216,0)</f>
        <v>0</v>
      </c>
      <c r="Z216" s="210"/>
      <c r="AA216" s="210"/>
      <c r="AB216" s="208" t="s">
        <v>591</v>
      </c>
      <c r="AC216" s="480"/>
      <c r="AD216" s="323"/>
      <c r="AE216" s="153"/>
      <c r="AF216" s="575">
        <f>IF(AE216&gt;0,INDEX(lerntab___0,AE216,1),0)</f>
        <v>0</v>
      </c>
      <c r="AG216" s="576">
        <f>ROUND(AF216*R216,0)</f>
        <v>0</v>
      </c>
      <c r="AI216" s="166"/>
      <c r="AJ216" s="139"/>
      <c r="AK216" s="175"/>
      <c r="AN216" s="146">
        <f>IF(LEFT(D216,1)="A",Y216,0)</f>
        <v>0</v>
      </c>
      <c r="AO216" s="146">
        <f>IF(LEFT(D216,1)="K",Y216,0)</f>
        <v>0</v>
      </c>
      <c r="AP216" s="146">
        <f>IF(LEFT(D216,1)="M",Y216,0)</f>
        <v>0</v>
      </c>
      <c r="AQ216" s="548"/>
      <c r="AR216" s="146">
        <f>IF(LEFT(M216,1)="A",AG216,0)</f>
        <v>0</v>
      </c>
      <c r="AS216" s="146">
        <f>IF(LEFT(M216,1)="K",AG216,0)</f>
        <v>0</v>
      </c>
      <c r="AT216" s="146">
        <f>IF(LEFT(M216,1)="M",AG216,0)</f>
        <v>0</v>
      </c>
      <c r="IU216"/>
      <c r="IV216"/>
    </row>
    <row r="217" spans="1:256" s="155" customFormat="1" ht="9.75" customHeight="1">
      <c r="A217" s="147" t="s">
        <v>592</v>
      </c>
      <c r="B217" s="148"/>
      <c r="C217" s="149"/>
      <c r="D217" s="150" t="s">
        <v>590</v>
      </c>
      <c r="E217" s="150" t="s">
        <v>567</v>
      </c>
      <c r="F217" s="150">
        <v>20</v>
      </c>
      <c r="G217" s="135">
        <f>(3*Mt___0+Kom+Int)/5</f>
        <v>75</v>
      </c>
      <c r="H217" s="135">
        <f>IF(G217&lt;50,450-6*G217,IF(G217&lt;100,250-2*G217,75-G217/4))</f>
        <v>100</v>
      </c>
      <c r="I217" s="136">
        <f>H217*F217/100</f>
        <v>20</v>
      </c>
      <c r="J217" s="208" t="s">
        <v>593</v>
      </c>
      <c r="K217" s="480"/>
      <c r="L217" s="480"/>
      <c r="M217" s="171" t="s">
        <v>576</v>
      </c>
      <c r="N217" s="171">
        <v>30</v>
      </c>
      <c r="O217" s="171">
        <v>50</v>
      </c>
      <c r="P217" s="151">
        <f>Mt___0</f>
        <v>75</v>
      </c>
      <c r="Q217" s="151">
        <f>IF(P217&lt;50,450-6*P217,IF(P217&lt;100,250-2*P217,75-P217/4))</f>
        <v>100</v>
      </c>
      <c r="R217" s="604">
        <f>Q217*O217/100</f>
        <v>50</v>
      </c>
      <c r="T217" s="147" t="s">
        <v>592</v>
      </c>
      <c r="U217" s="137"/>
      <c r="V217" s="137"/>
      <c r="W217" s="153"/>
      <c r="X217" s="140">
        <f>IF(W217&gt;0,INDEX(lerntab___0,W217,1),0)</f>
        <v>0</v>
      </c>
      <c r="Y217" s="141">
        <f>ROUND(X217*I217,0)</f>
        <v>0</v>
      </c>
      <c r="Z217" s="210"/>
      <c r="AA217" s="210"/>
      <c r="AB217" s="208" t="s">
        <v>593</v>
      </c>
      <c r="AC217" s="480"/>
      <c r="AD217" s="323"/>
      <c r="AE217" s="153"/>
      <c r="AF217" s="575">
        <f>IF(AE217&gt;0,INDEX(lerntab___0,AE217,1),0)</f>
        <v>0</v>
      </c>
      <c r="AG217" s="576">
        <f>ROUND(AF217*R217,0)</f>
        <v>0</v>
      </c>
      <c r="AI217" s="166"/>
      <c r="AJ217" s="139"/>
      <c r="AK217" s="175"/>
      <c r="AL217" s="580"/>
      <c r="AM217" s="580"/>
      <c r="AN217" s="146">
        <f>IF(LEFT(D217,1)="A",Y217,0)</f>
        <v>0</v>
      </c>
      <c r="AO217" s="146">
        <f>IF(LEFT(D217,1)="K",Y217,0)</f>
        <v>0</v>
      </c>
      <c r="AP217" s="146">
        <f>IF(LEFT(D217,1)="M",Y217,0)</f>
        <v>0</v>
      </c>
      <c r="AQ217" s="548"/>
      <c r="AR217" s="146">
        <f>IF(LEFT(M217,1)="A",AG217,0)</f>
        <v>0</v>
      </c>
      <c r="AS217" s="146">
        <f>IF(LEFT(M217,1)="K",AG217,0)</f>
        <v>0</v>
      </c>
      <c r="AT217" s="146">
        <f>IF(LEFT(M217,1)="M",AG217,0)</f>
        <v>0</v>
      </c>
      <c r="IU217"/>
      <c r="IV217"/>
    </row>
    <row r="218" spans="1:256" s="155" customFormat="1" ht="9.75" customHeight="1">
      <c r="A218" s="147" t="s">
        <v>594</v>
      </c>
      <c r="B218" s="148"/>
      <c r="C218" s="149"/>
      <c r="D218" s="150" t="s">
        <v>590</v>
      </c>
      <c r="E218" s="150" t="s">
        <v>567</v>
      </c>
      <c r="F218" s="150">
        <v>20</v>
      </c>
      <c r="G218" s="135">
        <f>(3*Mt___0+Kom+Int)/5</f>
        <v>75</v>
      </c>
      <c r="H218" s="135">
        <f>IF(G218&lt;50,450-6*G218,IF(G218&lt;100,250-2*G218,75-G218/4))</f>
        <v>100</v>
      </c>
      <c r="I218" s="136">
        <f>H218*F218/100</f>
        <v>20</v>
      </c>
      <c r="J218" s="208" t="s">
        <v>595</v>
      </c>
      <c r="K218" s="480"/>
      <c r="L218" s="480"/>
      <c r="M218" s="171" t="s">
        <v>576</v>
      </c>
      <c r="N218" s="171">
        <v>30</v>
      </c>
      <c r="O218" s="171">
        <v>35</v>
      </c>
      <c r="P218" s="151">
        <f>Mt___0</f>
        <v>75</v>
      </c>
      <c r="Q218" s="151">
        <f>IF(P218&lt;50,450-6*P218,IF(P218&lt;100,250-2*P218,75-P218/4))</f>
        <v>100</v>
      </c>
      <c r="R218" s="604">
        <f>Q218*O218/100</f>
        <v>35</v>
      </c>
      <c r="T218" s="147" t="s">
        <v>594</v>
      </c>
      <c r="U218" s="137"/>
      <c r="V218" s="138"/>
      <c r="W218" s="153"/>
      <c r="X218" s="140">
        <f>IF(W218&gt;0,INDEX(lerntab___0,W218,1),0)</f>
        <v>0</v>
      </c>
      <c r="Y218" s="141">
        <f>ROUND(X218*I218,0)</f>
        <v>0</v>
      </c>
      <c r="Z218" s="210"/>
      <c r="AA218" s="210"/>
      <c r="AB218" s="208" t="s">
        <v>595</v>
      </c>
      <c r="AC218" s="480"/>
      <c r="AD218" s="323"/>
      <c r="AE218" s="153"/>
      <c r="AF218" s="575">
        <f>IF(AE218&gt;0,INDEX(lerntab___0,AE218,1),0)</f>
        <v>0</v>
      </c>
      <c r="AG218" s="576">
        <f>ROUND(AF218*R218,0)</f>
        <v>0</v>
      </c>
      <c r="AI218" s="166"/>
      <c r="AJ218" s="205"/>
      <c r="AK218" s="206"/>
      <c r="AN218" s="146">
        <f>IF(LEFT(D218,1)="A",Y218,0)</f>
        <v>0</v>
      </c>
      <c r="AO218" s="146">
        <f>IF(LEFT(D218,1)="K",Y218,0)</f>
        <v>0</v>
      </c>
      <c r="AP218" s="146">
        <f>IF(LEFT(D218,1)="M",Y218,0)</f>
        <v>0</v>
      </c>
      <c r="AQ218" s="548"/>
      <c r="AR218" s="146">
        <f>IF(LEFT(M218,1)="A",AG218,0)</f>
        <v>0</v>
      </c>
      <c r="AS218" s="146">
        <f>IF(LEFT(M218,1)="K",AG218,0)</f>
        <v>0</v>
      </c>
      <c r="AT218" s="146">
        <f>IF(LEFT(M218,1)="M",AG218,0)</f>
        <v>0</v>
      </c>
      <c r="IU218"/>
      <c r="IV218"/>
    </row>
    <row r="219" spans="1:256" s="155" customFormat="1" ht="9.75" customHeight="1">
      <c r="A219" s="147" t="s">
        <v>596</v>
      </c>
      <c r="B219" s="148"/>
      <c r="C219" s="149"/>
      <c r="D219" s="150" t="s">
        <v>590</v>
      </c>
      <c r="E219" s="150" t="s">
        <v>567</v>
      </c>
      <c r="F219" s="150">
        <v>25</v>
      </c>
      <c r="G219" s="135">
        <f>(3*Mt___0+Kom+Int)/5</f>
        <v>75</v>
      </c>
      <c r="H219" s="135">
        <f>IF(G219&lt;50,450-6*G219,IF(G219&lt;100,250-2*G219,75-G219/4))</f>
        <v>100</v>
      </c>
      <c r="I219" s="136">
        <f>H219*F219/100</f>
        <v>25</v>
      </c>
      <c r="J219" s="208" t="s">
        <v>597</v>
      </c>
      <c r="K219" s="480"/>
      <c r="L219" s="480"/>
      <c r="M219" s="171" t="s">
        <v>576</v>
      </c>
      <c r="N219" s="171">
        <v>30</v>
      </c>
      <c r="O219" s="171">
        <v>60</v>
      </c>
      <c r="P219" s="151">
        <f>Mt___0</f>
        <v>75</v>
      </c>
      <c r="Q219" s="151">
        <f>IF(P219&lt;50,450-6*P219,IF(P219&lt;100,250-2*P219,75-P219/4))</f>
        <v>100</v>
      </c>
      <c r="R219" s="604">
        <f>Q219*O219/100</f>
        <v>60</v>
      </c>
      <c r="T219" s="147" t="s">
        <v>596</v>
      </c>
      <c r="U219" s="137"/>
      <c r="V219" s="138"/>
      <c r="W219" s="153"/>
      <c r="X219" s="140">
        <f>IF(W219&gt;0,INDEX(lerntab___0,W219,1),0)</f>
        <v>0</v>
      </c>
      <c r="Y219" s="141">
        <f>ROUND(X219*I219,0)</f>
        <v>0</v>
      </c>
      <c r="Z219" s="210"/>
      <c r="AA219" s="210"/>
      <c r="AB219" s="208" t="s">
        <v>597</v>
      </c>
      <c r="AC219" s="480"/>
      <c r="AD219" s="323"/>
      <c r="AE219" s="153"/>
      <c r="AF219" s="575">
        <f>IF(AE219&gt;0,INDEX(lerntab___0,AE219,1),0)</f>
        <v>0</v>
      </c>
      <c r="AG219" s="576">
        <f>ROUND(AF219*R219,0)</f>
        <v>0</v>
      </c>
      <c r="AI219" s="166"/>
      <c r="AJ219" s="139"/>
      <c r="AK219" s="175"/>
      <c r="AN219" s="146">
        <f>IF(LEFT(D219,1)="A",Y219,0)</f>
        <v>0</v>
      </c>
      <c r="AO219" s="146">
        <f>IF(LEFT(D219,1)="K",Y219,0)</f>
        <v>0</v>
      </c>
      <c r="AP219" s="146">
        <f>IF(LEFT(D219,1)="M",Y219,0)</f>
        <v>0</v>
      </c>
      <c r="AQ219" s="548"/>
      <c r="AR219" s="146">
        <f>IF(LEFT(M219,1)="A",AG219,0)</f>
        <v>0</v>
      </c>
      <c r="AS219" s="146">
        <f>IF(LEFT(M219,1)="K",AG219,0)</f>
        <v>0</v>
      </c>
      <c r="AT219" s="146">
        <f>IF(LEFT(M219,1)="M",AG219,0)</f>
        <v>0</v>
      </c>
      <c r="IU219"/>
      <c r="IV219"/>
    </row>
    <row r="220" spans="1:256" s="155" customFormat="1" ht="9.75" customHeight="1">
      <c r="A220" s="147" t="s">
        <v>598</v>
      </c>
      <c r="B220" s="148"/>
      <c r="C220" s="149"/>
      <c r="D220" s="150" t="s">
        <v>590</v>
      </c>
      <c r="E220" s="150" t="s">
        <v>567</v>
      </c>
      <c r="F220" s="150">
        <v>20</v>
      </c>
      <c r="G220" s="135">
        <f>(3*Mt___0+Kom+Int)/5</f>
        <v>75</v>
      </c>
      <c r="H220" s="135">
        <f>IF(G220&lt;50,450-6*G220,IF(G220&lt;100,250-2*G220,75-G220/4))</f>
        <v>100</v>
      </c>
      <c r="I220" s="136">
        <f>H220*F220/100</f>
        <v>20</v>
      </c>
      <c r="J220" s="607" t="s">
        <v>599</v>
      </c>
      <c r="K220" s="480"/>
      <c r="L220" s="480"/>
      <c r="M220" s="171" t="s">
        <v>576</v>
      </c>
      <c r="N220" s="171">
        <v>30</v>
      </c>
      <c r="O220" s="171">
        <v>70</v>
      </c>
      <c r="P220" s="151">
        <f>Mt___0</f>
        <v>75</v>
      </c>
      <c r="Q220" s="151">
        <f>IF(P220&lt;50,450-6*P220,IF(P220&lt;100,250-2*P220,75-P220/4))</f>
        <v>100</v>
      </c>
      <c r="R220" s="604">
        <f>Q220*O220/100</f>
        <v>70</v>
      </c>
      <c r="T220" s="147" t="s">
        <v>598</v>
      </c>
      <c r="U220" s="137"/>
      <c r="V220" s="138"/>
      <c r="W220" s="153"/>
      <c r="X220" s="140">
        <f>IF(W220&gt;0,INDEX(lerntab___0,W220,1),0)</f>
        <v>0</v>
      </c>
      <c r="Y220" s="141">
        <f>ROUND(X220*I220,0)</f>
        <v>0</v>
      </c>
      <c r="Z220" s="210"/>
      <c r="AA220" s="210"/>
      <c r="AB220" s="608" t="s">
        <v>599</v>
      </c>
      <c r="AC220" s="480"/>
      <c r="AD220" s="323"/>
      <c r="AE220" s="153"/>
      <c r="AF220" s="575">
        <f>IF(AE220&gt;0,INDEX(lerntab___0,AE220,1),0)</f>
        <v>0</v>
      </c>
      <c r="AG220" s="576">
        <f>ROUND(AF220*R220,0)</f>
        <v>0</v>
      </c>
      <c r="AI220" s="166"/>
      <c r="AJ220" s="139"/>
      <c r="AK220" s="175"/>
      <c r="AN220" s="146">
        <f>IF(LEFT(D220,1)="A",Y220,0)</f>
        <v>0</v>
      </c>
      <c r="AO220" s="146">
        <f>IF(LEFT(D220,1)="K",Y220,0)</f>
        <v>0</v>
      </c>
      <c r="AP220" s="146">
        <f>IF(LEFT(D220,1)="M",Y220,0)</f>
        <v>0</v>
      </c>
      <c r="AQ220" s="548"/>
      <c r="AR220" s="146">
        <f>IF(LEFT(M220,1)="A",AG220,0)</f>
        <v>0</v>
      </c>
      <c r="AS220" s="146">
        <f>IF(LEFT(M220,1)="K",AG220,0)</f>
        <v>0</v>
      </c>
      <c r="AT220" s="146">
        <f>IF(LEFT(M220,1)="M",AG220,0)</f>
        <v>0</v>
      </c>
      <c r="IU220"/>
      <c r="IV220"/>
    </row>
    <row r="221" spans="1:256" s="155" customFormat="1" ht="9.75" customHeight="1">
      <c r="A221" s="147" t="s">
        <v>600</v>
      </c>
      <c r="B221" s="148"/>
      <c r="C221" s="149"/>
      <c r="D221" s="150" t="s">
        <v>590</v>
      </c>
      <c r="E221" s="150" t="s">
        <v>567</v>
      </c>
      <c r="F221" s="150">
        <v>20</v>
      </c>
      <c r="G221" s="135">
        <f>(3*Mt___0+Kom+Int)/5</f>
        <v>75</v>
      </c>
      <c r="H221" s="135">
        <f>IF(G221&lt;50,450-6*G221,IF(G221&lt;100,250-2*G221,75-G221/4))</f>
        <v>100</v>
      </c>
      <c r="I221" s="136">
        <f>H221*F221/100</f>
        <v>20</v>
      </c>
      <c r="J221" s="606" t="s">
        <v>601</v>
      </c>
      <c r="K221" s="480"/>
      <c r="L221" s="480"/>
      <c r="M221" s="481"/>
      <c r="N221" s="481"/>
      <c r="O221" s="481"/>
      <c r="P221" s="505" t="s">
        <v>54</v>
      </c>
      <c r="Q221" s="505" t="s">
        <v>54</v>
      </c>
      <c r="R221" s="603" t="s">
        <v>54</v>
      </c>
      <c r="T221" s="147" t="s">
        <v>600</v>
      </c>
      <c r="U221" s="137"/>
      <c r="V221" s="138"/>
      <c r="W221" s="153"/>
      <c r="X221" s="140">
        <f>IF(W221&gt;0,INDEX(lerntab___0,W221,1),0)</f>
        <v>0</v>
      </c>
      <c r="Y221" s="141">
        <f>ROUND(X221*I221,0)</f>
        <v>0</v>
      </c>
      <c r="Z221" s="210"/>
      <c r="AA221" s="210"/>
      <c r="AB221" s="606" t="s">
        <v>601</v>
      </c>
      <c r="AC221" s="480"/>
      <c r="AD221" s="323"/>
      <c r="AE221" s="566"/>
      <c r="AF221" s="566"/>
      <c r="AG221" s="567"/>
      <c r="AI221" s="166"/>
      <c r="AJ221" s="139"/>
      <c r="AK221" s="175"/>
      <c r="AN221" s="146">
        <f>IF(LEFT(D221,1)="A",Y221,0)</f>
        <v>0</v>
      </c>
      <c r="AO221" s="146">
        <f>IF(LEFT(D221,1)="K",Y221,0)</f>
        <v>0</v>
      </c>
      <c r="AP221" s="146">
        <f>IF(LEFT(D221,1)="M",Y221,0)</f>
        <v>0</v>
      </c>
      <c r="AQ221" s="548"/>
      <c r="AR221" s="146">
        <f>IF(LEFT(M221,1)="A",AG221,0)</f>
        <v>0</v>
      </c>
      <c r="AS221" s="146">
        <f>IF(LEFT(M221,1)="K",AG221,0)</f>
        <v>0</v>
      </c>
      <c r="AT221" s="146">
        <f>IF(LEFT(M221,1)="M",AG221,0)</f>
        <v>0</v>
      </c>
      <c r="IU221"/>
      <c r="IV221"/>
    </row>
    <row r="222" spans="1:256" s="155" customFormat="1" ht="9.75" customHeight="1">
      <c r="A222" s="147" t="s">
        <v>520</v>
      </c>
      <c r="B222" s="148"/>
      <c r="C222" s="148"/>
      <c r="D222" s="150" t="s">
        <v>521</v>
      </c>
      <c r="E222" s="150" t="s">
        <v>433</v>
      </c>
      <c r="F222" s="150">
        <v>10</v>
      </c>
      <c r="G222" s="135">
        <f>Mt___0</f>
        <v>75</v>
      </c>
      <c r="H222" s="135">
        <f>IF(G222&lt;50,450-6*G222,IF(G222&lt;100,250-2*G222,75-G222/4))</f>
        <v>100</v>
      </c>
      <c r="I222" s="136">
        <f>H222*F222/100</f>
        <v>10</v>
      </c>
      <c r="J222" s="208" t="s">
        <v>602</v>
      </c>
      <c r="K222" s="480"/>
      <c r="L222" s="480"/>
      <c r="M222" s="171" t="s">
        <v>576</v>
      </c>
      <c r="N222" s="171">
        <v>30</v>
      </c>
      <c r="O222" s="171">
        <v>50</v>
      </c>
      <c r="P222" s="151">
        <f>(4*Mt___0+Int)/5</f>
        <v>75</v>
      </c>
      <c r="Q222" s="151">
        <f>IF(P222&lt;50,450-6*P222,IF(P222&lt;100,250-2*P222,75-P222/4))</f>
        <v>100</v>
      </c>
      <c r="R222" s="604">
        <f>Q222*O222/100</f>
        <v>50</v>
      </c>
      <c r="T222" s="147" t="s">
        <v>520</v>
      </c>
      <c r="U222" s="137"/>
      <c r="V222" s="138"/>
      <c r="W222" s="153"/>
      <c r="X222" s="140">
        <f>IF(W222&gt;0,INDEX(lerntab___0,W222,1),0)</f>
        <v>0</v>
      </c>
      <c r="Y222" s="141">
        <f>ROUND(X222*I222,0)</f>
        <v>0</v>
      </c>
      <c r="Z222" s="210"/>
      <c r="AA222" s="210"/>
      <c r="AB222" s="208" t="s">
        <v>602</v>
      </c>
      <c r="AC222" s="480"/>
      <c r="AD222" s="323"/>
      <c r="AE222" s="153"/>
      <c r="AF222" s="575">
        <f>IF(AE222&gt;0,INDEX(lerntab___0,AE222,1),0)</f>
        <v>0</v>
      </c>
      <c r="AG222" s="576">
        <f>ROUND(AF222*R222,0)</f>
        <v>0</v>
      </c>
      <c r="AI222" s="166"/>
      <c r="AJ222" s="139"/>
      <c r="AK222" s="175"/>
      <c r="AN222" s="146">
        <f>IF(LEFT(D222,1)="A",Y222,0)</f>
        <v>0</v>
      </c>
      <c r="AO222" s="146">
        <f>IF(LEFT(D222,1)="K",Y222,0)</f>
        <v>0</v>
      </c>
      <c r="AP222" s="146">
        <f>IF(LEFT(D222,1)="M",Y222,0)</f>
        <v>0</v>
      </c>
      <c r="AQ222" s="548"/>
      <c r="AR222" s="146">
        <f>IF(LEFT(M222,1)="A",AG222,0)</f>
        <v>0</v>
      </c>
      <c r="AS222" s="146">
        <f>IF(LEFT(M222,1)="K",AG222,0)</f>
        <v>0</v>
      </c>
      <c r="AT222" s="146">
        <f>IF(LEFT(M222,1)="M",AG222,0)</f>
        <v>0</v>
      </c>
      <c r="IU222"/>
      <c r="IV222"/>
    </row>
    <row r="223" spans="1:256" s="155" customFormat="1" ht="9.75" customHeight="1">
      <c r="A223" s="126" t="s">
        <v>603</v>
      </c>
      <c r="B223" s="211"/>
      <c r="C223" s="211"/>
      <c r="D223" s="212"/>
      <c r="E223" s="212"/>
      <c r="F223" s="212"/>
      <c r="G223" s="199"/>
      <c r="H223" s="199"/>
      <c r="I223" s="200"/>
      <c r="J223" s="208" t="s">
        <v>604</v>
      </c>
      <c r="K223" s="480"/>
      <c r="L223" s="480"/>
      <c r="M223" s="171" t="s">
        <v>576</v>
      </c>
      <c r="N223" s="171">
        <v>30</v>
      </c>
      <c r="O223" s="171">
        <v>50</v>
      </c>
      <c r="P223" s="151">
        <f>Mt___0</f>
        <v>75</v>
      </c>
      <c r="Q223" s="151">
        <f>IF(P223&lt;50,450-6*P223,IF(P223&lt;100,250-2*P223,75-P223/4))</f>
        <v>100</v>
      </c>
      <c r="R223" s="604">
        <f>Q223*O223/100</f>
        <v>50</v>
      </c>
      <c r="T223" s="126" t="s">
        <v>603</v>
      </c>
      <c r="U223" s="211"/>
      <c r="V223" s="211"/>
      <c r="W223" s="609"/>
      <c r="X223" s="182"/>
      <c r="Y223" s="183"/>
      <c r="Z223" s="210"/>
      <c r="AA223" s="210"/>
      <c r="AB223" s="208" t="s">
        <v>604</v>
      </c>
      <c r="AC223" s="480"/>
      <c r="AD223" s="323"/>
      <c r="AE223" s="153"/>
      <c r="AF223" s="575">
        <f>IF(AE223&gt;0,INDEX(lerntab___0,AE223,1),0)</f>
        <v>0</v>
      </c>
      <c r="AG223" s="576">
        <f>ROUND(AF223*R223,0)</f>
        <v>0</v>
      </c>
      <c r="AI223" s="166"/>
      <c r="AJ223" s="139"/>
      <c r="AK223" s="175"/>
      <c r="AN223" s="146">
        <f>IF(LEFT(D223,1)="A",Y223,0)</f>
        <v>0</v>
      </c>
      <c r="AO223" s="146">
        <f>IF(LEFT(D223,1)="K",Y223,0)</f>
        <v>0</v>
      </c>
      <c r="AP223" s="146">
        <f>IF(LEFT(D223,1)="M",Y223,0)</f>
        <v>0</v>
      </c>
      <c r="AQ223" s="548"/>
      <c r="AR223" s="146">
        <f>IF(LEFT(M223,1)="A",AG223,0)</f>
        <v>0</v>
      </c>
      <c r="AS223" s="146">
        <f>IF(LEFT(M223,1)="K",AG223,0)</f>
        <v>0</v>
      </c>
      <c r="AT223" s="146">
        <f>IF(LEFT(M223,1)="M",AG223,0)</f>
        <v>0</v>
      </c>
      <c r="IU223"/>
      <c r="IV223"/>
    </row>
    <row r="224" spans="1:256" s="155" customFormat="1" ht="9.75" customHeight="1">
      <c r="A224" s="167" t="s">
        <v>605</v>
      </c>
      <c r="B224" s="168"/>
      <c r="C224" s="169"/>
      <c r="D224" s="171" t="s">
        <v>576</v>
      </c>
      <c r="E224" s="171" t="s">
        <v>567</v>
      </c>
      <c r="F224" s="171">
        <v>6</v>
      </c>
      <c r="G224" s="135">
        <f>(2*Mt___0+2*Kom+Int)/5</f>
        <v>75</v>
      </c>
      <c r="H224" s="135">
        <f>IF(G224&lt;50,450-6*G224,IF(G224&lt;100,250-2*G224,75-G224/4))</f>
        <v>100</v>
      </c>
      <c r="I224" s="136">
        <f>H224*F224/100</f>
        <v>6</v>
      </c>
      <c r="J224" s="208" t="s">
        <v>606</v>
      </c>
      <c r="K224" s="480"/>
      <c r="L224" s="480"/>
      <c r="M224" s="171" t="s">
        <v>576</v>
      </c>
      <c r="N224" s="171">
        <v>30</v>
      </c>
      <c r="O224" s="171">
        <v>60</v>
      </c>
      <c r="P224" s="151">
        <f>Mt___0</f>
        <v>75</v>
      </c>
      <c r="Q224" s="151">
        <f>IF(P224&lt;50,450-6*P224,IF(P224&lt;100,250-2*P224,75-P224/4))</f>
        <v>100</v>
      </c>
      <c r="R224" s="604">
        <f>Q224*O224/100</f>
        <v>60</v>
      </c>
      <c r="T224" s="167" t="s">
        <v>605</v>
      </c>
      <c r="U224" s="137"/>
      <c r="V224" s="138"/>
      <c r="W224" s="153"/>
      <c r="X224" s="140">
        <f>IF(W224&gt;0,INDEX(lerntab___0,W224,1),0)</f>
        <v>0</v>
      </c>
      <c r="Y224" s="141">
        <f>ROUND(X224*I224,0)</f>
        <v>0</v>
      </c>
      <c r="Z224" s="210"/>
      <c r="AA224" s="210"/>
      <c r="AB224" s="208" t="s">
        <v>606</v>
      </c>
      <c r="AC224" s="480"/>
      <c r="AD224" s="323"/>
      <c r="AE224" s="153"/>
      <c r="AF224" s="575">
        <f>IF(AE224&gt;0,INDEX(lerntab___0,AE224,1),0)</f>
        <v>0</v>
      </c>
      <c r="AG224" s="576">
        <f>ROUND(AF224*R224,0)</f>
        <v>0</v>
      </c>
      <c r="AI224" s="166"/>
      <c r="AJ224" s="139"/>
      <c r="AK224" s="175"/>
      <c r="AN224" s="146">
        <f>IF(LEFT(D224,1)="A",Y224,0)</f>
        <v>0</v>
      </c>
      <c r="AO224" s="146">
        <f>IF(LEFT(D224,1)="K",Y224,0)</f>
        <v>0</v>
      </c>
      <c r="AP224" s="146">
        <f>IF(LEFT(D224,1)="M",Y224,0)</f>
        <v>0</v>
      </c>
      <c r="AQ224" s="548"/>
      <c r="AR224" s="146">
        <f>IF(LEFT(M224,1)="A",AG224,0)</f>
        <v>0</v>
      </c>
      <c r="AS224" s="146">
        <f>IF(LEFT(M224,1)="K",AG224,0)</f>
        <v>0</v>
      </c>
      <c r="AT224" s="146">
        <f>IF(LEFT(M224,1)="M",AG224,0)</f>
        <v>0</v>
      </c>
      <c r="IU224"/>
      <c r="IV224"/>
    </row>
    <row r="225" spans="1:256" s="155" customFormat="1" ht="9.75" customHeight="1">
      <c r="A225" s="610" t="s">
        <v>607</v>
      </c>
      <c r="B225" s="168"/>
      <c r="C225" s="169"/>
      <c r="D225" s="171" t="s">
        <v>576</v>
      </c>
      <c r="E225" s="171" t="s">
        <v>567</v>
      </c>
      <c r="F225" s="171">
        <v>3</v>
      </c>
      <c r="G225" s="135">
        <f>(2*Mt___0+2*Kom+Int)/5</f>
        <v>75</v>
      </c>
      <c r="H225" s="135">
        <f>IF(G225&lt;50,450-6*G225,IF(G225&lt;100,250-2*G225,75-G225/4))</f>
        <v>100</v>
      </c>
      <c r="I225" s="136">
        <f>H225*F225/100</f>
        <v>3</v>
      </c>
      <c r="J225" s="208" t="s">
        <v>608</v>
      </c>
      <c r="K225" s="480"/>
      <c r="L225" s="480"/>
      <c r="M225" s="171" t="s">
        <v>576</v>
      </c>
      <c r="N225" s="171">
        <v>30</v>
      </c>
      <c r="O225" s="171">
        <v>30</v>
      </c>
      <c r="P225" s="151">
        <f>Mt___0</f>
        <v>75</v>
      </c>
      <c r="Q225" s="151">
        <f>IF(P225&lt;50,450-6*P225,IF(P225&lt;100,250-2*P225,75-P225/4))</f>
        <v>100</v>
      </c>
      <c r="R225" s="604">
        <f>Q225*O225/100</f>
        <v>30</v>
      </c>
      <c r="T225" s="610" t="s">
        <v>607</v>
      </c>
      <c r="U225" s="137"/>
      <c r="V225" s="138"/>
      <c r="W225" s="153"/>
      <c r="X225" s="140">
        <f>IF(W225&gt;0,INDEX(lerntab___0,W225,1),0)</f>
        <v>0</v>
      </c>
      <c r="Y225" s="141">
        <f>ROUND(X225*I225,0)</f>
        <v>0</v>
      </c>
      <c r="Z225" s="210"/>
      <c r="AA225" s="210"/>
      <c r="AB225" s="208" t="s">
        <v>608</v>
      </c>
      <c r="AC225" s="480"/>
      <c r="AD225" s="323"/>
      <c r="AE225" s="153"/>
      <c r="AF225" s="575">
        <f>IF(AE225&gt;0,INDEX(lerntab___0,AE225,1),0)</f>
        <v>0</v>
      </c>
      <c r="AG225" s="576">
        <f>ROUND(AF225*R225,0)</f>
        <v>0</v>
      </c>
      <c r="AI225" s="121" t="s">
        <v>609</v>
      </c>
      <c r="AJ225" s="122"/>
      <c r="AK225" s="123"/>
      <c r="AN225" s="146">
        <f>IF(LEFT(D225,1)="A",Y225,0)</f>
        <v>0</v>
      </c>
      <c r="AO225" s="146">
        <f>IF(LEFT(D225,1)="K",Y225,0)</f>
        <v>0</v>
      </c>
      <c r="AP225" s="146">
        <f>IF(LEFT(D225,1)="M",Y225,0)</f>
        <v>0</v>
      </c>
      <c r="AQ225" s="548"/>
      <c r="AR225" s="146">
        <f>IF(LEFT(M225,1)="A",AG225,0)</f>
        <v>0</v>
      </c>
      <c r="AS225" s="146">
        <f>IF(LEFT(M225,1)="K",AG225,0)</f>
        <v>0</v>
      </c>
      <c r="AT225" s="146">
        <f>IF(LEFT(M225,1)="M",AG225,0)</f>
        <v>0</v>
      </c>
      <c r="IU225"/>
      <c r="IV225"/>
    </row>
    <row r="226" spans="1:256" s="155" customFormat="1" ht="9.75" customHeight="1">
      <c r="A226" s="610" t="s">
        <v>610</v>
      </c>
      <c r="B226" s="168"/>
      <c r="C226" s="169"/>
      <c r="D226" s="171" t="s">
        <v>576</v>
      </c>
      <c r="E226" s="171" t="s">
        <v>567</v>
      </c>
      <c r="F226" s="171">
        <v>3</v>
      </c>
      <c r="G226" s="135">
        <f>(2*Mt___0+2*Kom+Int)/5</f>
        <v>75</v>
      </c>
      <c r="H226" s="135">
        <f>IF(G226&lt;50,450-6*G226,IF(G226&lt;100,250-2*G226,75-G226/4))</f>
        <v>100</v>
      </c>
      <c r="I226" s="136">
        <f>H226*F226/100</f>
        <v>3</v>
      </c>
      <c r="J226" s="606" t="s">
        <v>611</v>
      </c>
      <c r="K226" s="480"/>
      <c r="L226" s="480"/>
      <c r="M226" s="481"/>
      <c r="N226" s="481"/>
      <c r="O226" s="481"/>
      <c r="P226" s="505" t="s">
        <v>54</v>
      </c>
      <c r="Q226" s="505" t="s">
        <v>54</v>
      </c>
      <c r="R226" s="603" t="s">
        <v>54</v>
      </c>
      <c r="T226" s="610" t="s">
        <v>610</v>
      </c>
      <c r="U226" s="137"/>
      <c r="V226" s="138"/>
      <c r="W226" s="153"/>
      <c r="X226" s="140">
        <f>IF(W226&gt;0,INDEX(lerntab___0,W226,1),0)</f>
        <v>0</v>
      </c>
      <c r="Y226" s="141">
        <f>ROUND(X226*I226,0)</f>
        <v>0</v>
      </c>
      <c r="Z226" s="210"/>
      <c r="AA226" s="210"/>
      <c r="AB226" s="606" t="s">
        <v>611</v>
      </c>
      <c r="AC226" s="480"/>
      <c r="AD226" s="323"/>
      <c r="AE226" s="566"/>
      <c r="AF226" s="566"/>
      <c r="AG226" s="567"/>
      <c r="AI226" s="121" t="s">
        <v>41</v>
      </c>
      <c r="AJ226" s="143" t="s">
        <v>49</v>
      </c>
      <c r="AK226" s="144" t="s">
        <v>51</v>
      </c>
      <c r="AN226" s="146">
        <f>IF(LEFT(D226,1)="A",Y226,0)</f>
        <v>0</v>
      </c>
      <c r="AO226" s="146">
        <f>IF(LEFT(D226,1)="K",Y226,0)</f>
        <v>0</v>
      </c>
      <c r="AP226" s="146">
        <f>IF(LEFT(D226,1)="M",Y226,0)</f>
        <v>0</v>
      </c>
      <c r="AQ226" s="548"/>
      <c r="AR226" s="146">
        <f>IF(LEFT(M226,1)="A",AG226,0)</f>
        <v>0</v>
      </c>
      <c r="AS226" s="146">
        <f>IF(LEFT(M226,1)="K",AG226,0)</f>
        <v>0</v>
      </c>
      <c r="AT226" s="146">
        <f>IF(LEFT(M226,1)="M",AG226,0)</f>
        <v>0</v>
      </c>
      <c r="IU226"/>
      <c r="IV226"/>
    </row>
    <row r="227" spans="1:256" s="155" customFormat="1" ht="9.75" customHeight="1">
      <c r="A227" s="610" t="s">
        <v>612</v>
      </c>
      <c r="B227" s="168"/>
      <c r="C227" s="169"/>
      <c r="D227" s="171" t="s">
        <v>576</v>
      </c>
      <c r="E227" s="171" t="s">
        <v>567</v>
      </c>
      <c r="F227" s="171">
        <v>8</v>
      </c>
      <c r="G227" s="135">
        <f>(2*Mt___0+2*Kom+Int)/5</f>
        <v>75</v>
      </c>
      <c r="H227" s="135">
        <f>IF(G227&lt;50,450-6*G227,IF(G227&lt;100,250-2*G227,75-G227/4))</f>
        <v>100</v>
      </c>
      <c r="I227" s="136">
        <f>H227*F227/100</f>
        <v>8</v>
      </c>
      <c r="J227" s="208" t="s">
        <v>613</v>
      </c>
      <c r="K227" s="480"/>
      <c r="L227" s="480"/>
      <c r="M227" s="171" t="s">
        <v>576</v>
      </c>
      <c r="N227" s="171">
        <v>30</v>
      </c>
      <c r="O227" s="171">
        <v>60</v>
      </c>
      <c r="P227" s="151">
        <f>(4*Mt___0+Int)/5</f>
        <v>75</v>
      </c>
      <c r="Q227" s="151">
        <f>IF(P227&lt;50,450-6*P227,IF(P227&lt;100,250-2*P227,75-P227/4))</f>
        <v>100</v>
      </c>
      <c r="R227" s="604">
        <f>Q227*O227/100</f>
        <v>60</v>
      </c>
      <c r="T227" s="610" t="s">
        <v>612</v>
      </c>
      <c r="U227" s="137"/>
      <c r="V227" s="138"/>
      <c r="W227" s="153"/>
      <c r="X227" s="140">
        <f>IF(W227&gt;0,INDEX(lerntab___0,W227,1),0)</f>
        <v>0</v>
      </c>
      <c r="Y227" s="141">
        <f>ROUND(X227*I227,0)</f>
        <v>0</v>
      </c>
      <c r="Z227" s="210"/>
      <c r="AA227" s="210"/>
      <c r="AB227" s="208" t="s">
        <v>613</v>
      </c>
      <c r="AC227" s="480"/>
      <c r="AD227" s="323"/>
      <c r="AE227" s="153"/>
      <c r="AF227" s="575">
        <f>IF(AE227&gt;0,INDEX(lerntab___0,AE227,1),0)</f>
        <v>0</v>
      </c>
      <c r="AG227" s="576">
        <f>ROUND(AF227*R227,0)</f>
        <v>0</v>
      </c>
      <c r="AI227" s="166"/>
      <c r="AJ227" s="139"/>
      <c r="AK227" s="175"/>
      <c r="AN227" s="146">
        <f>IF(LEFT(D227,1)="A",Y227,0)</f>
        <v>0</v>
      </c>
      <c r="AO227" s="146">
        <f>IF(LEFT(D227,1)="K",Y227,0)</f>
        <v>0</v>
      </c>
      <c r="AP227" s="146">
        <f>IF(LEFT(D227,1)="M",Y227,0)</f>
        <v>0</v>
      </c>
      <c r="AQ227" s="548"/>
      <c r="AR227" s="146">
        <f>IF(LEFT(M227,1)="A",AG227,0)</f>
        <v>0</v>
      </c>
      <c r="AS227" s="146">
        <f>IF(LEFT(M227,1)="K",AG227,0)</f>
        <v>0</v>
      </c>
      <c r="AT227" s="146">
        <f>IF(LEFT(M227,1)="M",AG227,0)</f>
        <v>0</v>
      </c>
      <c r="IU227"/>
      <c r="IV227"/>
    </row>
    <row r="228" spans="1:256" s="155" customFormat="1" ht="9.75" customHeight="1">
      <c r="A228" s="610" t="s">
        <v>614</v>
      </c>
      <c r="B228" s="168"/>
      <c r="C228" s="169"/>
      <c r="D228" s="171" t="s">
        <v>576</v>
      </c>
      <c r="E228" s="171" t="s">
        <v>567</v>
      </c>
      <c r="F228" s="171">
        <v>13</v>
      </c>
      <c r="G228" s="135">
        <f>(2*Mt___0+2*Kom+Int)/5</f>
        <v>75</v>
      </c>
      <c r="H228" s="135">
        <f>IF(G228&lt;50,450-6*G228,IF(G228&lt;100,250-2*G228,75-G228/4))</f>
        <v>100</v>
      </c>
      <c r="I228" s="136">
        <f>H228*F228/100</f>
        <v>13</v>
      </c>
      <c r="J228" s="208" t="s">
        <v>615</v>
      </c>
      <c r="K228" s="480"/>
      <c r="L228" s="480"/>
      <c r="M228" s="171" t="s">
        <v>576</v>
      </c>
      <c r="N228" s="171">
        <v>30</v>
      </c>
      <c r="O228" s="171">
        <v>75</v>
      </c>
      <c r="P228" s="151">
        <f>Mt___0</f>
        <v>75</v>
      </c>
      <c r="Q228" s="151">
        <f>IF(P228&lt;50,450-6*P228,IF(P228&lt;100,250-2*P228,75-P228/4))</f>
        <v>100</v>
      </c>
      <c r="R228" s="604">
        <f>Q228*O228/100</f>
        <v>75</v>
      </c>
      <c r="T228" s="610" t="s">
        <v>614</v>
      </c>
      <c r="U228" s="137"/>
      <c r="V228" s="138"/>
      <c r="W228" s="153"/>
      <c r="X228" s="140">
        <f>IF(W228&gt;0,INDEX(lerntab___0,W228,1),0)</f>
        <v>0</v>
      </c>
      <c r="Y228" s="141">
        <f>ROUND(X228*I228,0)</f>
        <v>0</v>
      </c>
      <c r="Z228" s="210"/>
      <c r="AA228" s="210"/>
      <c r="AB228" s="208" t="s">
        <v>615</v>
      </c>
      <c r="AC228" s="480"/>
      <c r="AD228" s="323"/>
      <c r="AE228" s="153"/>
      <c r="AF228" s="575">
        <f>IF(AE228&gt;0,INDEX(lerntab___0,AE228,1),0)</f>
        <v>0</v>
      </c>
      <c r="AG228" s="576">
        <f>ROUND(AF228*R228,0)</f>
        <v>0</v>
      </c>
      <c r="AI228" s="166"/>
      <c r="AJ228" s="139"/>
      <c r="AK228" s="175"/>
      <c r="AN228" s="146">
        <f>IF(LEFT(D228,1)="A",Y228,0)</f>
        <v>0</v>
      </c>
      <c r="AO228" s="146">
        <f>IF(LEFT(D228,1)="K",Y228,0)</f>
        <v>0</v>
      </c>
      <c r="AP228" s="146">
        <f>IF(LEFT(D228,1)="M",Y228,0)</f>
        <v>0</v>
      </c>
      <c r="AQ228" s="548"/>
      <c r="AR228" s="146">
        <f>IF(LEFT(M228,1)="A",AG228,0)</f>
        <v>0</v>
      </c>
      <c r="AS228" s="146">
        <f>IF(LEFT(M228,1)="K",AG228,0)</f>
        <v>0</v>
      </c>
      <c r="AT228" s="146">
        <f>IF(LEFT(M228,1)="M",AG228,0)</f>
        <v>0</v>
      </c>
      <c r="IU228"/>
      <c r="IV228"/>
    </row>
    <row r="229" spans="1:256" s="155" customFormat="1" ht="9.75" customHeight="1">
      <c r="A229" s="167" t="s">
        <v>616</v>
      </c>
      <c r="B229" s="168"/>
      <c r="C229" s="169"/>
      <c r="D229" s="171" t="s">
        <v>576</v>
      </c>
      <c r="E229" s="171" t="s">
        <v>567</v>
      </c>
      <c r="F229" s="171">
        <v>15</v>
      </c>
      <c r="G229" s="135">
        <f>(2*Mt___0+2*Kom+Int)/5</f>
        <v>75</v>
      </c>
      <c r="H229" s="135">
        <f>IF(G229&lt;50,450-6*G229,IF(G229&lt;100,250-2*G229,75-G229/4))</f>
        <v>100</v>
      </c>
      <c r="I229" s="136">
        <f>H229*F229/100</f>
        <v>15</v>
      </c>
      <c r="J229" s="208" t="s">
        <v>617</v>
      </c>
      <c r="K229" s="480"/>
      <c r="L229" s="480"/>
      <c r="M229" s="171" t="s">
        <v>576</v>
      </c>
      <c r="N229" s="171">
        <v>30</v>
      </c>
      <c r="O229" s="171">
        <v>65</v>
      </c>
      <c r="P229" s="151">
        <f>Mt___0</f>
        <v>75</v>
      </c>
      <c r="Q229" s="151">
        <f>IF(P229&lt;50,450-6*P229,IF(P229&lt;100,250-2*P229,75-P229/4))</f>
        <v>100</v>
      </c>
      <c r="R229" s="604">
        <f>Q229*O229/100</f>
        <v>65</v>
      </c>
      <c r="T229" s="611" t="s">
        <v>616</v>
      </c>
      <c r="U229" s="137"/>
      <c r="V229" s="138"/>
      <c r="W229" s="153"/>
      <c r="X229" s="140">
        <f>IF(W229&gt;0,INDEX(lerntab___0,W229,1),0)</f>
        <v>0</v>
      </c>
      <c r="Y229" s="141">
        <f>ROUND(X229*I229,0)</f>
        <v>0</v>
      </c>
      <c r="Z229" s="210"/>
      <c r="AA229" s="210"/>
      <c r="AB229" s="208" t="s">
        <v>617</v>
      </c>
      <c r="AC229" s="480"/>
      <c r="AD229" s="323"/>
      <c r="AE229" s="153"/>
      <c r="AF229" s="575">
        <f>IF(AE229&gt;0,INDEX(lerntab___0,AE229,1),0)</f>
        <v>0</v>
      </c>
      <c r="AG229" s="576">
        <f>ROUND(AF229*R229,0)</f>
        <v>0</v>
      </c>
      <c r="AI229" s="166"/>
      <c r="AJ229" s="139"/>
      <c r="AK229" s="175"/>
      <c r="AN229" s="146">
        <f>IF(LEFT(D229,1)="A",Y229,0)</f>
        <v>0</v>
      </c>
      <c r="AO229" s="146">
        <f>IF(LEFT(D229,1)="K",Y229,0)</f>
        <v>0</v>
      </c>
      <c r="AP229" s="146">
        <f>IF(LEFT(D229,1)="M",Y229,0)</f>
        <v>0</v>
      </c>
      <c r="AQ229" s="548"/>
      <c r="AR229" s="146">
        <f>IF(LEFT(M229,1)="A",AG229,0)</f>
        <v>0</v>
      </c>
      <c r="AS229" s="146">
        <f>IF(LEFT(M229,1)="K",AG229,0)</f>
        <v>0</v>
      </c>
      <c r="AT229" s="146">
        <f>IF(LEFT(M229,1)="M",AG229,0)</f>
        <v>0</v>
      </c>
      <c r="IU229"/>
      <c r="IV229"/>
    </row>
    <row r="230" spans="1:256" s="155" customFormat="1" ht="9.75" customHeight="1">
      <c r="A230" s="612" t="s">
        <v>618</v>
      </c>
      <c r="B230" s="613"/>
      <c r="C230" s="169"/>
      <c r="D230" s="171" t="s">
        <v>576</v>
      </c>
      <c r="E230" s="171" t="s">
        <v>567</v>
      </c>
      <c r="F230" s="151">
        <v>0.5</v>
      </c>
      <c r="G230" s="135">
        <f>(2*Mt___0+2*Kom+Int)/5</f>
        <v>75</v>
      </c>
      <c r="H230" s="135">
        <f>IF(G230&lt;50,450-6*G230,IF(G230&lt;100,250-2*G230,75-G230/4))</f>
        <v>100</v>
      </c>
      <c r="I230" s="136">
        <f>H230*F230/100</f>
        <v>0.5</v>
      </c>
      <c r="J230" s="208" t="s">
        <v>608</v>
      </c>
      <c r="K230" s="480"/>
      <c r="L230" s="480"/>
      <c r="M230" s="171" t="s">
        <v>576</v>
      </c>
      <c r="N230" s="171">
        <v>30</v>
      </c>
      <c r="O230" s="171">
        <v>40</v>
      </c>
      <c r="P230" s="151">
        <f>Mt___0</f>
        <v>75</v>
      </c>
      <c r="Q230" s="151">
        <f>IF(P230&lt;50,450-6*P230,IF(P230&lt;100,250-2*P230,75-P230/4))</f>
        <v>100</v>
      </c>
      <c r="R230" s="604">
        <f>Q230*O230/100</f>
        <v>40</v>
      </c>
      <c r="T230" s="614" t="s">
        <v>618</v>
      </c>
      <c r="U230" s="137"/>
      <c r="V230" s="138"/>
      <c r="W230" s="153"/>
      <c r="X230" s="140">
        <f>IF(W230&gt;0,INDEX(lerntab___0,W230,1),0)</f>
        <v>0</v>
      </c>
      <c r="Y230" s="141">
        <f>ROUND(X230*I230,0)</f>
        <v>0</v>
      </c>
      <c r="Z230" s="210"/>
      <c r="AA230" s="210"/>
      <c r="AB230" s="208" t="s">
        <v>608</v>
      </c>
      <c r="AC230" s="480"/>
      <c r="AD230" s="323"/>
      <c r="AE230" s="153"/>
      <c r="AF230" s="575">
        <f>IF(AE230&gt;0,INDEX(lerntab___0,AE230,1),0)</f>
        <v>0</v>
      </c>
      <c r="AG230" s="576">
        <f>ROUND(AF230*R230,0)</f>
        <v>0</v>
      </c>
      <c r="AI230" s="166"/>
      <c r="AJ230" s="139"/>
      <c r="AK230" s="175"/>
      <c r="AN230" s="146">
        <f>IF(LEFT(D230,1)="A",Y230,0)</f>
        <v>0</v>
      </c>
      <c r="AO230" s="146">
        <f>IF(LEFT(D230,1)="K",Y230,0)</f>
        <v>0</v>
      </c>
      <c r="AP230" s="146">
        <f>IF(LEFT(D230,1)="M",Y230,0)</f>
        <v>0</v>
      </c>
      <c r="AQ230" s="548"/>
      <c r="AR230" s="146">
        <f>IF(LEFT(M230,1)="A",AG230,0)</f>
        <v>0</v>
      </c>
      <c r="AS230" s="146">
        <f>IF(LEFT(M230,1)="K",AG230,0)</f>
        <v>0</v>
      </c>
      <c r="AT230" s="146">
        <f>IF(LEFT(M230,1)="M",AG230,0)</f>
        <v>0</v>
      </c>
      <c r="IU230"/>
      <c r="IV230"/>
    </row>
    <row r="231" spans="1:256" s="155" customFormat="1" ht="9.75" customHeight="1">
      <c r="A231" s="614" t="s">
        <v>619</v>
      </c>
      <c r="B231" s="615"/>
      <c r="C231" s="169"/>
      <c r="D231" s="171" t="s">
        <v>576</v>
      </c>
      <c r="E231" s="171" t="s">
        <v>567</v>
      </c>
      <c r="F231" s="171">
        <v>22</v>
      </c>
      <c r="G231" s="135">
        <f>(2*Mt___0+2*Kom+Int)/5</f>
        <v>75</v>
      </c>
      <c r="H231" s="135">
        <f>IF(G231&lt;50,450-6*G231,IF(G231&lt;100,250-2*G231,75-G231/4))</f>
        <v>100</v>
      </c>
      <c r="I231" s="136">
        <f>H231*F231/100</f>
        <v>22</v>
      </c>
      <c r="J231" s="606" t="s">
        <v>620</v>
      </c>
      <c r="K231" s="480"/>
      <c r="L231" s="480"/>
      <c r="M231" s="481"/>
      <c r="N231" s="481"/>
      <c r="O231" s="481"/>
      <c r="P231" s="505" t="s">
        <v>54</v>
      </c>
      <c r="Q231" s="505" t="s">
        <v>54</v>
      </c>
      <c r="R231" s="603" t="s">
        <v>54</v>
      </c>
      <c r="T231" s="614" t="s">
        <v>619</v>
      </c>
      <c r="U231" s="137"/>
      <c r="V231" s="138"/>
      <c r="W231" s="153"/>
      <c r="X231" s="140">
        <f>IF(W231&gt;0,INDEX(lerntab___0,W231,1),0)</f>
        <v>0</v>
      </c>
      <c r="Y231" s="141">
        <f>ROUND(X231*I231,0)</f>
        <v>0</v>
      </c>
      <c r="Z231" s="210"/>
      <c r="AA231" s="210"/>
      <c r="AB231" s="606" t="s">
        <v>620</v>
      </c>
      <c r="AC231" s="480"/>
      <c r="AD231" s="323"/>
      <c r="AE231" s="566"/>
      <c r="AF231" s="566"/>
      <c r="AG231" s="567"/>
      <c r="AI231" s="166"/>
      <c r="AJ231" s="139"/>
      <c r="AK231" s="175"/>
      <c r="AN231" s="146">
        <f>IF(LEFT(D231,1)="A",Y231,0)</f>
        <v>0</v>
      </c>
      <c r="AO231" s="146">
        <f>IF(LEFT(D231,1)="K",Y231,0)</f>
        <v>0</v>
      </c>
      <c r="AP231" s="146">
        <f>IF(LEFT(D231,1)="M",Y231,0)</f>
        <v>0</v>
      </c>
      <c r="AQ231" s="548"/>
      <c r="AR231" s="146">
        <f>IF(LEFT(M231,1)="A",AG231,0)</f>
        <v>0</v>
      </c>
      <c r="AS231" s="146">
        <f>IF(LEFT(M231,1)="K",AG231,0)</f>
        <v>0</v>
      </c>
      <c r="AT231" s="146">
        <f>IF(LEFT(M231,1)="M",AG231,0)</f>
        <v>0</v>
      </c>
      <c r="IU231"/>
      <c r="IV231"/>
    </row>
    <row r="232" spans="1:256" s="155" customFormat="1" ht="9.75" customHeight="1">
      <c r="A232" s="614" t="s">
        <v>621</v>
      </c>
      <c r="B232" s="615"/>
      <c r="C232" s="169"/>
      <c r="D232" s="171" t="s">
        <v>576</v>
      </c>
      <c r="E232" s="171" t="s">
        <v>567</v>
      </c>
      <c r="F232" s="171">
        <v>12</v>
      </c>
      <c r="G232" s="135">
        <f>(2*Mt___0+2*Kom+Int)/5</f>
        <v>75</v>
      </c>
      <c r="H232" s="135">
        <f>IF(G232&lt;50,450-6*G232,IF(G232&lt;100,250-2*G232,75-G232/4))</f>
        <v>100</v>
      </c>
      <c r="I232" s="136">
        <f>H232*F232/100</f>
        <v>12</v>
      </c>
      <c r="J232" s="208" t="s">
        <v>622</v>
      </c>
      <c r="K232" s="480"/>
      <c r="L232" s="480"/>
      <c r="M232" s="171" t="s">
        <v>576</v>
      </c>
      <c r="N232" s="171">
        <v>30</v>
      </c>
      <c r="O232" s="171">
        <v>80</v>
      </c>
      <c r="P232" s="151">
        <f>(4*Mt___0+Int)/5</f>
        <v>75</v>
      </c>
      <c r="Q232" s="151">
        <f>IF(P232&lt;50,450-6*P232,IF(P232&lt;100,250-2*P232,75-P232/4))</f>
        <v>100</v>
      </c>
      <c r="R232" s="604">
        <f>Q232*O232/100</f>
        <v>80</v>
      </c>
      <c r="T232" s="614" t="s">
        <v>621</v>
      </c>
      <c r="U232" s="137"/>
      <c r="V232" s="138"/>
      <c r="W232" s="153"/>
      <c r="X232" s="140">
        <f>IF(W232&gt;0,INDEX(lerntab___0,W232,1),0)</f>
        <v>0</v>
      </c>
      <c r="Y232" s="141">
        <f>ROUND(X232*I232,0)</f>
        <v>0</v>
      </c>
      <c r="Z232" s="210"/>
      <c r="AA232" s="210"/>
      <c r="AB232" s="208" t="s">
        <v>622</v>
      </c>
      <c r="AC232" s="480"/>
      <c r="AD232" s="323"/>
      <c r="AE232" s="153"/>
      <c r="AF232" s="575">
        <f>IF(AE232&gt;0,INDEX(lerntab___0,AE232,1),0)</f>
        <v>0</v>
      </c>
      <c r="AG232" s="576">
        <f>ROUND(AF232*R232,0)</f>
        <v>0</v>
      </c>
      <c r="AI232" s="166"/>
      <c r="AJ232" s="139"/>
      <c r="AK232" s="175"/>
      <c r="AN232" s="146">
        <f>IF(LEFT(D232,1)="A",Y232,0)</f>
        <v>0</v>
      </c>
      <c r="AO232" s="146">
        <f>IF(LEFT(D232,1)="K",Y232,0)</f>
        <v>0</v>
      </c>
      <c r="AP232" s="146">
        <f>IF(LEFT(D232,1)="M",Y232,0)</f>
        <v>0</v>
      </c>
      <c r="AQ232" s="548"/>
      <c r="AR232" s="146">
        <f>IF(LEFT(M232,1)="A",AG232,0)</f>
        <v>0</v>
      </c>
      <c r="AS232" s="146">
        <f>IF(LEFT(M232,1)="K",AG232,0)</f>
        <v>0</v>
      </c>
      <c r="AT232" s="146">
        <f>IF(LEFT(M232,1)="M",AG232,0)</f>
        <v>0</v>
      </c>
      <c r="IU232"/>
      <c r="IV232"/>
    </row>
    <row r="233" spans="1:256" s="155" customFormat="1" ht="9.75" customHeight="1">
      <c r="A233" s="616" t="s">
        <v>623</v>
      </c>
      <c r="B233" s="615"/>
      <c r="C233" s="169"/>
      <c r="D233" s="171" t="s">
        <v>576</v>
      </c>
      <c r="E233" s="171" t="s">
        <v>567</v>
      </c>
      <c r="F233" s="171">
        <v>6</v>
      </c>
      <c r="G233" s="135">
        <f>(2*Mt___0+2*Kom+Int)/5</f>
        <v>75</v>
      </c>
      <c r="H233" s="135">
        <f>IF(G233&lt;50,450-6*G233,IF(G233&lt;100,250-2*G233,75-G233/4))</f>
        <v>100</v>
      </c>
      <c r="I233" s="136">
        <f>H233*F233/100</f>
        <v>6</v>
      </c>
      <c r="J233" s="208" t="s">
        <v>624</v>
      </c>
      <c r="K233" s="480"/>
      <c r="L233" s="480"/>
      <c r="M233" s="171" t="s">
        <v>576</v>
      </c>
      <c r="N233" s="171">
        <v>30</v>
      </c>
      <c r="O233" s="171">
        <v>75</v>
      </c>
      <c r="P233" s="151">
        <f>Mt___0</f>
        <v>75</v>
      </c>
      <c r="Q233" s="151">
        <f>IF(P233&lt;50,450-6*P233,IF(P233&lt;100,250-2*P233,75-P233/4))</f>
        <v>100</v>
      </c>
      <c r="R233" s="604">
        <f>Q233*O233/100</f>
        <v>75</v>
      </c>
      <c r="T233" s="616" t="s">
        <v>623</v>
      </c>
      <c r="U233" s="137"/>
      <c r="V233" s="138"/>
      <c r="W233" s="153"/>
      <c r="X233" s="140">
        <f>IF(W233&gt;0,INDEX(lerntab___0,W233,1),0)</f>
        <v>0</v>
      </c>
      <c r="Y233" s="141">
        <f>ROUND(X233*I233,0)</f>
        <v>0</v>
      </c>
      <c r="Z233" s="210"/>
      <c r="AA233" s="210"/>
      <c r="AB233" s="208" t="s">
        <v>624</v>
      </c>
      <c r="AC233" s="480"/>
      <c r="AD233" s="323"/>
      <c r="AE233" s="153"/>
      <c r="AF233" s="575">
        <f>IF(AE233&gt;0,INDEX(lerntab___0,AE233,1),0)</f>
        <v>0</v>
      </c>
      <c r="AG233" s="576">
        <f>ROUND(AF233*R233,0)</f>
        <v>0</v>
      </c>
      <c r="AI233" s="166"/>
      <c r="AJ233" s="139"/>
      <c r="AK233" s="175"/>
      <c r="AN233" s="146">
        <f>IF(LEFT(D233,1)="A",Y233,0)</f>
        <v>0</v>
      </c>
      <c r="AO233" s="146">
        <f>IF(LEFT(D233,1)="K",Y233,0)</f>
        <v>0</v>
      </c>
      <c r="AP233" s="146">
        <f>IF(LEFT(D233,1)="M",Y233,0)</f>
        <v>0</v>
      </c>
      <c r="AQ233" s="548"/>
      <c r="AR233" s="146">
        <f>IF(LEFT(M233,1)="A",AG233,0)</f>
        <v>0</v>
      </c>
      <c r="AS233" s="146">
        <f>IF(LEFT(M233,1)="K",AG233,0)</f>
        <v>0</v>
      </c>
      <c r="AT233" s="146">
        <f>IF(LEFT(M233,1)="M",AG233,0)</f>
        <v>0</v>
      </c>
      <c r="IU233"/>
      <c r="IV233"/>
    </row>
    <row r="234" spans="1:256" s="155" customFormat="1" ht="9.75" customHeight="1">
      <c r="A234" s="614" t="s">
        <v>625</v>
      </c>
      <c r="B234" s="615"/>
      <c r="C234" s="169"/>
      <c r="D234" s="171" t="s">
        <v>576</v>
      </c>
      <c r="E234" s="171" t="s">
        <v>567</v>
      </c>
      <c r="F234" s="171">
        <v>3</v>
      </c>
      <c r="G234" s="135">
        <f>(2*Mt___0+2*Kom+Int)/5</f>
        <v>75</v>
      </c>
      <c r="H234" s="135">
        <f>IF(G234&lt;50,450-6*G234,IF(G234&lt;100,250-2*G234,75-G234/4))</f>
        <v>100</v>
      </c>
      <c r="I234" s="136">
        <f>H234*F234/100</f>
        <v>3</v>
      </c>
      <c r="J234" s="208" t="s">
        <v>626</v>
      </c>
      <c r="K234" s="480"/>
      <c r="L234" s="480"/>
      <c r="M234" s="171" t="s">
        <v>576</v>
      </c>
      <c r="N234" s="171">
        <v>30</v>
      </c>
      <c r="O234" s="171">
        <v>90</v>
      </c>
      <c r="P234" s="151">
        <f>Mt___0</f>
        <v>75</v>
      </c>
      <c r="Q234" s="151">
        <f>IF(P234&lt;50,450-6*P234,IF(P234&lt;100,250-2*P234,75-P234/4))</f>
        <v>100</v>
      </c>
      <c r="R234" s="604">
        <f>Q234*O234/100</f>
        <v>90</v>
      </c>
      <c r="T234" s="614" t="s">
        <v>625</v>
      </c>
      <c r="U234" s="137"/>
      <c r="V234" s="138"/>
      <c r="W234" s="153"/>
      <c r="X234" s="140">
        <f>IF(W234&gt;0,INDEX(lerntab___0,W234,1),0)</f>
        <v>0</v>
      </c>
      <c r="Y234" s="141">
        <f>ROUND(X234*I234,0)</f>
        <v>0</v>
      </c>
      <c r="Z234" s="210"/>
      <c r="AA234" s="210"/>
      <c r="AB234" s="208" t="s">
        <v>626</v>
      </c>
      <c r="AC234" s="480"/>
      <c r="AD234" s="323"/>
      <c r="AE234" s="153"/>
      <c r="AF234" s="575">
        <f>IF(AE234&gt;0,INDEX(lerntab___0,AE234,1),0)</f>
        <v>0</v>
      </c>
      <c r="AG234" s="576">
        <f>ROUND(AF234*R234,0)</f>
        <v>0</v>
      </c>
      <c r="AI234" s="166"/>
      <c r="AJ234" s="139"/>
      <c r="AK234" s="175"/>
      <c r="AN234" s="146">
        <f>IF(LEFT(D234,1)="A",Y234,0)</f>
        <v>0</v>
      </c>
      <c r="AO234" s="146">
        <f>IF(LEFT(D234,1)="K",Y234,0)</f>
        <v>0</v>
      </c>
      <c r="AP234" s="146">
        <f>IF(LEFT(D234,1)="M",Y234,0)</f>
        <v>0</v>
      </c>
      <c r="AQ234" s="548"/>
      <c r="AR234" s="146">
        <f>IF(LEFT(M234,1)="A",AG234,0)</f>
        <v>0</v>
      </c>
      <c r="AS234" s="146">
        <f>IF(LEFT(M234,1)="K",AG234,0)</f>
        <v>0</v>
      </c>
      <c r="AT234" s="146">
        <f>IF(LEFT(M234,1)="M",AG234,0)</f>
        <v>0</v>
      </c>
      <c r="IU234"/>
      <c r="IV234"/>
    </row>
    <row r="235" spans="1:256" s="155" customFormat="1" ht="9.75" customHeight="1">
      <c r="A235" s="614" t="s">
        <v>627</v>
      </c>
      <c r="B235" s="615"/>
      <c r="C235" s="169"/>
      <c r="D235" s="171" t="s">
        <v>576</v>
      </c>
      <c r="E235" s="171" t="s">
        <v>567</v>
      </c>
      <c r="F235" s="171">
        <v>3</v>
      </c>
      <c r="G235" s="135">
        <f>(2*Mt___0+2*Kom+Int)/5</f>
        <v>75</v>
      </c>
      <c r="H235" s="135">
        <f>IF(G235&lt;50,450-6*G235,IF(G235&lt;100,250-2*G235,75-G235/4))</f>
        <v>100</v>
      </c>
      <c r="I235" s="136">
        <f>H235*F235/100</f>
        <v>3</v>
      </c>
      <c r="J235" s="208" t="s">
        <v>628</v>
      </c>
      <c r="K235" s="480"/>
      <c r="L235" s="480"/>
      <c r="M235" s="171" t="s">
        <v>576</v>
      </c>
      <c r="N235" s="171">
        <v>30</v>
      </c>
      <c r="O235" s="171">
        <v>95</v>
      </c>
      <c r="P235" s="151">
        <f>Mt___0</f>
        <v>75</v>
      </c>
      <c r="Q235" s="151">
        <f>IF(P235&lt;50,450-6*P235,IF(P235&lt;100,250-2*P235,75-P235/4))</f>
        <v>100</v>
      </c>
      <c r="R235" s="604">
        <f>Q235*O235/100</f>
        <v>95</v>
      </c>
      <c r="T235" s="617" t="s">
        <v>627</v>
      </c>
      <c r="U235" s="137"/>
      <c r="V235" s="138"/>
      <c r="W235" s="153"/>
      <c r="X235" s="140">
        <f>IF(W235&gt;0,INDEX(lerntab___0,W235,1),0)</f>
        <v>0</v>
      </c>
      <c r="Y235" s="141">
        <f>ROUND(X235*I235,0)</f>
        <v>0</v>
      </c>
      <c r="Z235" s="210"/>
      <c r="AA235" s="210"/>
      <c r="AB235" s="208" t="s">
        <v>628</v>
      </c>
      <c r="AC235" s="480"/>
      <c r="AD235" s="323"/>
      <c r="AE235" s="153"/>
      <c r="AF235" s="575">
        <f>IF(AE235&gt;0,INDEX(lerntab___0,AE235,1),0)</f>
        <v>0</v>
      </c>
      <c r="AG235" s="576">
        <f>ROUND(AF235*R235,0)</f>
        <v>0</v>
      </c>
      <c r="AI235" s="166"/>
      <c r="AJ235" s="139"/>
      <c r="AK235" s="175"/>
      <c r="AN235" s="146">
        <f>IF(LEFT(D235,1)="A",Y235,0)</f>
        <v>0</v>
      </c>
      <c r="AO235" s="146">
        <f>IF(LEFT(D235,1)="K",Y235,0)</f>
        <v>0</v>
      </c>
      <c r="AP235" s="146">
        <f>IF(LEFT(D235,1)="M",Y235,0)</f>
        <v>0</v>
      </c>
      <c r="AQ235" s="548"/>
      <c r="AR235" s="146">
        <f>IF(LEFT(M235,1)="A",AG235,0)</f>
        <v>0</v>
      </c>
      <c r="AS235" s="146">
        <f>IF(LEFT(M235,1)="K",AG235,0)</f>
        <v>0</v>
      </c>
      <c r="AT235" s="146">
        <f>IF(LEFT(M235,1)="M",AG235,0)</f>
        <v>0</v>
      </c>
      <c r="IU235"/>
      <c r="IV235"/>
    </row>
    <row r="236" spans="1:256" s="155" customFormat="1" ht="9.75" customHeight="1">
      <c r="A236" s="614" t="s">
        <v>629</v>
      </c>
      <c r="B236" s="615"/>
      <c r="C236" s="169"/>
      <c r="D236" s="171" t="s">
        <v>576</v>
      </c>
      <c r="E236" s="171" t="s">
        <v>567</v>
      </c>
      <c r="F236" s="171">
        <v>3</v>
      </c>
      <c r="G236" s="135">
        <f>(2*Mt___0+2*Kom+Int)/5</f>
        <v>75</v>
      </c>
      <c r="H236" s="135">
        <f>IF(G236&lt;50,450-6*G236,IF(G236&lt;100,250-2*G236,75-G236/4))</f>
        <v>100</v>
      </c>
      <c r="I236" s="136">
        <f>H236*F236/100</f>
        <v>3</v>
      </c>
      <c r="J236" s="606" t="s">
        <v>630</v>
      </c>
      <c r="K236" s="480"/>
      <c r="L236" s="480"/>
      <c r="M236" s="481"/>
      <c r="N236" s="481"/>
      <c r="O236" s="481"/>
      <c r="P236" s="505" t="s">
        <v>54</v>
      </c>
      <c r="Q236" s="505" t="s">
        <v>54</v>
      </c>
      <c r="R236" s="603" t="s">
        <v>54</v>
      </c>
      <c r="T236" s="610" t="s">
        <v>629</v>
      </c>
      <c r="U236" s="137"/>
      <c r="V236" s="138"/>
      <c r="W236" s="153"/>
      <c r="X236" s="140">
        <f>IF(W236&gt;0,INDEX(lerntab___0,W236,1),0)</f>
        <v>0</v>
      </c>
      <c r="Y236" s="141">
        <f>ROUND(X236*I236,0)</f>
        <v>0</v>
      </c>
      <c r="Z236" s="210"/>
      <c r="AA236" s="210"/>
      <c r="AB236" s="606" t="s">
        <v>630</v>
      </c>
      <c r="AC236" s="480"/>
      <c r="AD236" s="323"/>
      <c r="AE236" s="566"/>
      <c r="AF236" s="566"/>
      <c r="AG236" s="567"/>
      <c r="AI236" s="166"/>
      <c r="AJ236" s="139"/>
      <c r="AK236" s="175"/>
      <c r="AN236" s="146">
        <f>IF(LEFT(D236,1)="A",Y236,0)</f>
        <v>0</v>
      </c>
      <c r="AO236" s="146">
        <f>IF(LEFT(D236,1)="K",Y236,0)</f>
        <v>0</v>
      </c>
      <c r="AP236" s="146">
        <f>IF(LEFT(D236,1)="M",Y236,0)</f>
        <v>0</v>
      </c>
      <c r="AQ236" s="548"/>
      <c r="AR236" s="146">
        <f>IF(LEFT(M236,1)="A",AG236,0)</f>
        <v>0</v>
      </c>
      <c r="AS236" s="146">
        <f>IF(LEFT(M236,1)="K",AG236,0)</f>
        <v>0</v>
      </c>
      <c r="AT236" s="146">
        <f>IF(LEFT(M236,1)="M",AG236,0)</f>
        <v>0</v>
      </c>
      <c r="IU236"/>
      <c r="IV236"/>
    </row>
    <row r="237" spans="1:256" s="155" customFormat="1" ht="9.75" customHeight="1">
      <c r="A237" s="614" t="s">
        <v>631</v>
      </c>
      <c r="B237" s="615"/>
      <c r="C237" s="169"/>
      <c r="D237" s="171" t="s">
        <v>576</v>
      </c>
      <c r="E237" s="171" t="s">
        <v>567</v>
      </c>
      <c r="F237" s="171">
        <v>3</v>
      </c>
      <c r="G237" s="135">
        <f>(2*Mt___0+2*Kom+Int)/5</f>
        <v>75</v>
      </c>
      <c r="H237" s="135">
        <f>IF(G237&lt;50,450-6*G237,IF(G237&lt;100,250-2*G237,75-G237/4))</f>
        <v>100</v>
      </c>
      <c r="I237" s="136">
        <f>H237*F237/100</f>
        <v>3</v>
      </c>
      <c r="J237" s="208" t="s">
        <v>632</v>
      </c>
      <c r="K237" s="480"/>
      <c r="L237" s="480"/>
      <c r="M237" s="171" t="s">
        <v>576</v>
      </c>
      <c r="N237" s="171">
        <v>30</v>
      </c>
      <c r="O237" s="171">
        <v>100</v>
      </c>
      <c r="P237" s="151">
        <f>(4*Mt___0+Int)/5</f>
        <v>75</v>
      </c>
      <c r="Q237" s="151">
        <f>IF(P237&lt;50,450-6*P237,IF(P237&lt;100,250-2*P237,75-P237/4))</f>
        <v>100</v>
      </c>
      <c r="R237" s="604">
        <f>Q237*O237/100</f>
        <v>100</v>
      </c>
      <c r="T237" s="610" t="s">
        <v>631</v>
      </c>
      <c r="U237" s="137"/>
      <c r="V237" s="138"/>
      <c r="W237" s="153"/>
      <c r="X237" s="140">
        <f>IF(W237&gt;0,INDEX(lerntab___0,W237,1),0)</f>
        <v>0</v>
      </c>
      <c r="Y237" s="141">
        <f>ROUND(X237*I237,0)</f>
        <v>0</v>
      </c>
      <c r="Z237" s="210"/>
      <c r="AA237" s="210"/>
      <c r="AB237" s="208" t="s">
        <v>632</v>
      </c>
      <c r="AC237" s="480"/>
      <c r="AD237" s="323"/>
      <c r="AE237" s="153"/>
      <c r="AF237" s="575">
        <f>IF(AE237&gt;0,INDEX(lerntab___0,AE237,1),0)</f>
        <v>0</v>
      </c>
      <c r="AG237" s="576">
        <f>ROUND(AF237*R237,0)</f>
        <v>0</v>
      </c>
      <c r="AI237" s="166"/>
      <c r="AJ237" s="139"/>
      <c r="AK237" s="175"/>
      <c r="AN237" s="146">
        <f>IF(LEFT(D237,1)="A",Y237,0)</f>
        <v>0</v>
      </c>
      <c r="AO237" s="146">
        <f>IF(LEFT(D237,1)="K",Y237,0)</f>
        <v>0</v>
      </c>
      <c r="AP237" s="146">
        <f>IF(LEFT(D237,1)="M",Y237,0)</f>
        <v>0</v>
      </c>
      <c r="AQ237" s="548"/>
      <c r="AR237" s="146">
        <f>IF(LEFT(M237,1)="A",AG237,0)</f>
        <v>0</v>
      </c>
      <c r="AS237" s="146">
        <f>IF(LEFT(M237,1)="K",AG237,0)</f>
        <v>0</v>
      </c>
      <c r="AT237" s="146">
        <f>IF(LEFT(M237,1)="M",AG237,0)</f>
        <v>0</v>
      </c>
      <c r="IU237"/>
      <c r="IV237"/>
    </row>
    <row r="238" spans="1:256" s="155" customFormat="1" ht="9.75" customHeight="1">
      <c r="A238" s="614" t="s">
        <v>633</v>
      </c>
      <c r="B238" s="615"/>
      <c r="C238" s="169"/>
      <c r="D238" s="171" t="s">
        <v>576</v>
      </c>
      <c r="E238" s="171" t="s">
        <v>567</v>
      </c>
      <c r="F238" s="171">
        <v>3</v>
      </c>
      <c r="G238" s="135">
        <f>(2*Mt___0+2*Kom+Int)/5</f>
        <v>75</v>
      </c>
      <c r="H238" s="135">
        <f>IF(G238&lt;50,450-6*G238,IF(G238&lt;100,250-2*G238,75-G238/4))</f>
        <v>100</v>
      </c>
      <c r="I238" s="136">
        <f>H238*F238/100</f>
        <v>3</v>
      </c>
      <c r="J238" s="208" t="s">
        <v>634</v>
      </c>
      <c r="K238" s="480"/>
      <c r="L238" s="480"/>
      <c r="M238" s="171" t="s">
        <v>576</v>
      </c>
      <c r="N238" s="171">
        <v>30</v>
      </c>
      <c r="O238" s="171">
        <v>100</v>
      </c>
      <c r="P238" s="151">
        <f>Mt___0</f>
        <v>75</v>
      </c>
      <c r="Q238" s="151">
        <f>IF(P238&lt;50,450-6*P238,IF(P238&lt;100,250-2*P238,75-P238/4))</f>
        <v>100</v>
      </c>
      <c r="R238" s="604">
        <f>Q238*O238/100</f>
        <v>100</v>
      </c>
      <c r="T238" s="610" t="s">
        <v>633</v>
      </c>
      <c r="U238" s="137"/>
      <c r="V238" s="138"/>
      <c r="W238" s="153"/>
      <c r="X238" s="140">
        <f>IF(W238&gt;0,INDEX(lerntab___0,W238,1),0)</f>
        <v>0</v>
      </c>
      <c r="Y238" s="141">
        <f>ROUND(X238*I238,0)</f>
        <v>0</v>
      </c>
      <c r="Z238" s="210"/>
      <c r="AA238" s="210"/>
      <c r="AB238" s="208" t="s">
        <v>634</v>
      </c>
      <c r="AC238" s="480"/>
      <c r="AD238" s="323"/>
      <c r="AE238" s="153"/>
      <c r="AF238" s="575">
        <f>IF(AE238&gt;0,INDEX(lerntab___0,AE238,1),0)</f>
        <v>0</v>
      </c>
      <c r="AG238" s="576">
        <f>ROUND(AF238*R238,0)</f>
        <v>0</v>
      </c>
      <c r="AI238" s="166"/>
      <c r="AJ238" s="139"/>
      <c r="AK238" s="175"/>
      <c r="AN238" s="146">
        <f>IF(LEFT(D238,1)="A",Y238,0)</f>
        <v>0</v>
      </c>
      <c r="AO238" s="146">
        <f>IF(LEFT(D238,1)="K",Y238,0)</f>
        <v>0</v>
      </c>
      <c r="AP238" s="146">
        <f>IF(LEFT(D238,1)="M",Y238,0)</f>
        <v>0</v>
      </c>
      <c r="AQ238" s="548"/>
      <c r="AR238" s="146">
        <f>IF(LEFT(M238,1)="A",AG238,0)</f>
        <v>0</v>
      </c>
      <c r="AS238" s="146">
        <f>IF(LEFT(M238,1)="K",AG238,0)</f>
        <v>0</v>
      </c>
      <c r="AT238" s="146">
        <f>IF(LEFT(M238,1)="M",AG238,0)</f>
        <v>0</v>
      </c>
      <c r="IU238"/>
      <c r="IV238"/>
    </row>
    <row r="239" spans="1:256" s="155" customFormat="1" ht="9" customHeight="1">
      <c r="A239" s="618" t="s">
        <v>635</v>
      </c>
      <c r="B239" s="619"/>
      <c r="C239" s="169"/>
      <c r="D239" s="171" t="s">
        <v>576</v>
      </c>
      <c r="E239" s="171" t="s">
        <v>567</v>
      </c>
      <c r="F239" s="171">
        <v>18</v>
      </c>
      <c r="G239" s="135">
        <f>(2*Mt___0+2*Kom+Int)/5</f>
        <v>75</v>
      </c>
      <c r="H239" s="135">
        <f>IF(G239&lt;50,450-6*G239,IF(G239&lt;100,250-2*G239,75-G239/4))</f>
        <v>100</v>
      </c>
      <c r="I239" s="136">
        <f>H239*F239/100</f>
        <v>18</v>
      </c>
      <c r="J239" s="208" t="s">
        <v>636</v>
      </c>
      <c r="K239" s="480"/>
      <c r="L239" s="480"/>
      <c r="M239" s="171" t="s">
        <v>576</v>
      </c>
      <c r="N239" s="171">
        <v>30</v>
      </c>
      <c r="O239" s="171">
        <v>120</v>
      </c>
      <c r="P239" s="151">
        <f>Mt___0</f>
        <v>75</v>
      </c>
      <c r="Q239" s="151">
        <f>IF(P239&lt;50,450-6*P239,IF(P239&lt;100,250-2*P239,75-P239/4))</f>
        <v>100</v>
      </c>
      <c r="R239" s="604">
        <f>Q239*O239/100</f>
        <v>120</v>
      </c>
      <c r="T239" s="167" t="s">
        <v>635</v>
      </c>
      <c r="U239" s="137"/>
      <c r="V239" s="138"/>
      <c r="W239" s="153"/>
      <c r="X239" s="140">
        <f>IF(W239&gt;0,INDEX(lerntab___0,W239,1),0)</f>
        <v>0</v>
      </c>
      <c r="Y239" s="141">
        <f>ROUND(X239*I239,0)</f>
        <v>0</v>
      </c>
      <c r="Z239" s="210"/>
      <c r="AA239" s="210"/>
      <c r="AB239" s="208" t="s">
        <v>636</v>
      </c>
      <c r="AC239" s="480"/>
      <c r="AD239" s="323"/>
      <c r="AE239" s="153"/>
      <c r="AF239" s="575">
        <f>IF(AE239&gt;0,INDEX(lerntab___0,AE239,1),0)</f>
        <v>0</v>
      </c>
      <c r="AG239" s="576">
        <f>ROUND(AF239*R239,0)</f>
        <v>0</v>
      </c>
      <c r="AI239" s="166"/>
      <c r="AJ239" s="139"/>
      <c r="AK239" s="175"/>
      <c r="AN239" s="146">
        <f>IF(LEFT(D239,1)="A",Y239,0)</f>
        <v>0</v>
      </c>
      <c r="AO239" s="146">
        <f>IF(LEFT(D239,1)="K",Y239,0)</f>
        <v>0</v>
      </c>
      <c r="AP239" s="146">
        <f>IF(LEFT(D239,1)="M",Y239,0)</f>
        <v>0</v>
      </c>
      <c r="AQ239" s="548"/>
      <c r="AR239" s="146">
        <f>IF(LEFT(M239,1)="A",AG239,0)</f>
        <v>0</v>
      </c>
      <c r="AS239" s="146">
        <f>IF(LEFT(M239,1)="K",AG239,0)</f>
        <v>0</v>
      </c>
      <c r="AT239" s="146">
        <f>IF(LEFT(M239,1)="M",AG239,0)</f>
        <v>0</v>
      </c>
      <c r="IU239"/>
      <c r="IV239"/>
    </row>
    <row r="240" spans="1:256" s="155" customFormat="1" ht="9" customHeight="1">
      <c r="A240" s="610" t="s">
        <v>637</v>
      </c>
      <c r="B240" s="168"/>
      <c r="C240" s="169"/>
      <c r="D240" s="171" t="s">
        <v>576</v>
      </c>
      <c r="E240" s="171" t="s">
        <v>567</v>
      </c>
      <c r="F240" s="171">
        <v>2</v>
      </c>
      <c r="G240" s="135">
        <f>(2*Mt___0+2*Kom+Int)/5</f>
        <v>75</v>
      </c>
      <c r="H240" s="135">
        <f>IF(G240&lt;50,450-6*G240,IF(G240&lt;100,250-2*G240,75-G240/4))</f>
        <v>100</v>
      </c>
      <c r="I240" s="136">
        <f>H240*F240/100</f>
        <v>2</v>
      </c>
      <c r="J240" s="208" t="s">
        <v>638</v>
      </c>
      <c r="K240" s="480"/>
      <c r="L240" s="480"/>
      <c r="M240" s="171" t="s">
        <v>576</v>
      </c>
      <c r="N240" s="171">
        <v>30</v>
      </c>
      <c r="O240" s="171">
        <v>125</v>
      </c>
      <c r="P240" s="151">
        <f>Mt___0</f>
        <v>75</v>
      </c>
      <c r="Q240" s="151">
        <f>IF(P240&lt;50,450-6*P240,IF(P240&lt;100,250-2*P240,75-P240/4))</f>
        <v>100</v>
      </c>
      <c r="R240" s="604">
        <f>Q240*O240/100</f>
        <v>125</v>
      </c>
      <c r="T240" s="610" t="s">
        <v>637</v>
      </c>
      <c r="U240" s="137"/>
      <c r="V240" s="138"/>
      <c r="W240" s="153"/>
      <c r="X240" s="140">
        <f>IF(W240&gt;0,INDEX(lerntab___0,W240,1),0)</f>
        <v>0</v>
      </c>
      <c r="Y240" s="141">
        <f>ROUND(X240*I240,0)</f>
        <v>0</v>
      </c>
      <c r="Z240" s="210"/>
      <c r="AA240" s="210"/>
      <c r="AB240" s="208" t="s">
        <v>638</v>
      </c>
      <c r="AC240" s="480"/>
      <c r="AD240" s="323"/>
      <c r="AE240" s="153"/>
      <c r="AF240" s="575">
        <f>IF(AE240&gt;0,INDEX(lerntab___0,AE240,1),0)</f>
        <v>0</v>
      </c>
      <c r="AG240" s="576">
        <f>ROUND(AF240*R240,0)</f>
        <v>0</v>
      </c>
      <c r="AI240" s="166"/>
      <c r="AJ240" s="139"/>
      <c r="AK240" s="175"/>
      <c r="AN240" s="146">
        <f>IF(LEFT(D240,1)="A",Y240,0)</f>
        <v>0</v>
      </c>
      <c r="AO240" s="146">
        <f>IF(LEFT(D240,1)="K",Y240,0)</f>
        <v>0</v>
      </c>
      <c r="AP240" s="146">
        <f>IF(LEFT(D240,1)="M",Y240,0)</f>
        <v>0</v>
      </c>
      <c r="AQ240" s="548"/>
      <c r="AR240" s="146">
        <f>IF(LEFT(M240,1)="A",AG240,0)</f>
        <v>0</v>
      </c>
      <c r="AS240" s="146">
        <f>IF(LEFT(M240,1)="K",AG240,0)</f>
        <v>0</v>
      </c>
      <c r="AT240" s="146">
        <f>IF(LEFT(M240,1)="M",AG240,0)</f>
        <v>0</v>
      </c>
      <c r="IU240"/>
      <c r="IV240"/>
    </row>
    <row r="241" spans="1:256" s="155" customFormat="1" ht="9" customHeight="1">
      <c r="A241" s="610" t="s">
        <v>639</v>
      </c>
      <c r="B241" s="168"/>
      <c r="C241" s="169"/>
      <c r="D241" s="171" t="s">
        <v>576</v>
      </c>
      <c r="E241" s="171" t="s">
        <v>567</v>
      </c>
      <c r="F241" s="171">
        <v>14</v>
      </c>
      <c r="G241" s="135">
        <f>(2*Mt___0+2*Kom+Int)/5</f>
        <v>75</v>
      </c>
      <c r="H241" s="135">
        <f>IF(G241&lt;50,450-6*G241,IF(G241&lt;100,250-2*G241,75-G241/4))</f>
        <v>100</v>
      </c>
      <c r="I241" s="136">
        <f>H241*F241/100</f>
        <v>14</v>
      </c>
      <c r="J241" s="606" t="s">
        <v>640</v>
      </c>
      <c r="K241" s="480"/>
      <c r="L241" s="480"/>
      <c r="M241" s="481"/>
      <c r="N241" s="481"/>
      <c r="O241" s="481"/>
      <c r="P241" s="505" t="s">
        <v>54</v>
      </c>
      <c r="Q241" s="505" t="s">
        <v>54</v>
      </c>
      <c r="R241" s="603" t="s">
        <v>54</v>
      </c>
      <c r="T241" s="610" t="s">
        <v>639</v>
      </c>
      <c r="U241" s="137"/>
      <c r="V241" s="138"/>
      <c r="W241" s="153"/>
      <c r="X241" s="140">
        <f>IF(W241&gt;0,INDEX(lerntab___0,W241,1),0)</f>
        <v>0</v>
      </c>
      <c r="Y241" s="141">
        <f>ROUND(X241*I241,0)</f>
        <v>0</v>
      </c>
      <c r="AB241" s="606" t="s">
        <v>640</v>
      </c>
      <c r="AC241" s="480"/>
      <c r="AD241" s="323"/>
      <c r="AE241" s="566"/>
      <c r="AF241" s="566"/>
      <c r="AG241" s="567"/>
      <c r="AI241" s="262"/>
      <c r="AJ241" s="263"/>
      <c r="AK241" s="264"/>
      <c r="AN241" s="146">
        <f>IF(LEFT(D241,1)="A",Y241,0)</f>
        <v>0</v>
      </c>
      <c r="AO241" s="146">
        <f>IF(LEFT(D241,1)="K",Y241,0)</f>
        <v>0</v>
      </c>
      <c r="AP241" s="146">
        <f>IF(LEFT(D241,1)="M",Y241,0)</f>
        <v>0</v>
      </c>
      <c r="AQ241" s="548"/>
      <c r="AR241" s="146">
        <f>IF(LEFT(M241,1)="A",AG241,0)</f>
        <v>0</v>
      </c>
      <c r="AS241" s="146">
        <f>IF(LEFT(M241,1)="K",AG241,0)</f>
        <v>0</v>
      </c>
      <c r="AT241" s="146">
        <f>IF(LEFT(M241,1)="M",AG241,0)</f>
        <v>0</v>
      </c>
      <c r="IU241"/>
      <c r="IV241"/>
    </row>
    <row r="242" spans="1:256" s="155" customFormat="1" ht="9" customHeight="1">
      <c r="A242" s="610" t="s">
        <v>641</v>
      </c>
      <c r="B242" s="620"/>
      <c r="C242" s="621"/>
      <c r="D242" s="171" t="s">
        <v>576</v>
      </c>
      <c r="E242" s="622" t="s">
        <v>642</v>
      </c>
      <c r="F242" s="622">
        <v>26</v>
      </c>
      <c r="G242" s="514">
        <f>(2*Mt___0+2*Kom+Int)/5</f>
        <v>75</v>
      </c>
      <c r="H242" s="514">
        <f>IF(G242&lt;50,450-6*G242,IF(G242&lt;100,250-2*G242,75-G242/4))</f>
        <v>100</v>
      </c>
      <c r="I242" s="515">
        <f>H242*F242/100</f>
        <v>26</v>
      </c>
      <c r="J242" s="208" t="s">
        <v>643</v>
      </c>
      <c r="K242" s="480"/>
      <c r="L242" s="480"/>
      <c r="M242" s="171" t="s">
        <v>576</v>
      </c>
      <c r="N242" s="171">
        <v>30</v>
      </c>
      <c r="O242" s="171">
        <v>125</v>
      </c>
      <c r="P242" s="151">
        <f>(4*Mt___0+Int)/5</f>
        <v>75</v>
      </c>
      <c r="Q242" s="151">
        <f>IF(P242&lt;50,450-6*P242,IF(P242&lt;100,250-2*P242,75-P242/4))</f>
        <v>100</v>
      </c>
      <c r="R242" s="604">
        <f>Q242*O242/100</f>
        <v>125</v>
      </c>
      <c r="T242" s="610" t="s">
        <v>641</v>
      </c>
      <c r="U242" s="354"/>
      <c r="V242" s="623"/>
      <c r="W242" s="153"/>
      <c r="X242" s="140">
        <f>IF(W242&gt;0,INDEX(lerntab___0,W242,1),0)</f>
        <v>0</v>
      </c>
      <c r="Y242" s="141">
        <f>ROUND(X242*I242,0)</f>
        <v>0</v>
      </c>
      <c r="AB242" s="208" t="s">
        <v>643</v>
      </c>
      <c r="AC242" s="480"/>
      <c r="AD242" s="323"/>
      <c r="AE242" s="153"/>
      <c r="AF242" s="575">
        <f>IF(AE242&gt;0,INDEX(lerntab___0,AE242,1),0)</f>
        <v>0</v>
      </c>
      <c r="AG242" s="576">
        <f>ROUND(AF242*R242,0)</f>
        <v>0</v>
      </c>
      <c r="AJ242" s="624"/>
      <c r="AK242" s="624"/>
      <c r="AN242" s="146">
        <f>IF(LEFT(D242,1)="A",Y242,0)</f>
        <v>0</v>
      </c>
      <c r="AO242" s="146">
        <f>IF(LEFT(D242,1)="K",Y242,0)</f>
        <v>0</v>
      </c>
      <c r="AP242" s="146">
        <f>IF(LEFT(D242,1)="M",Y242,0)</f>
        <v>0</v>
      </c>
      <c r="AQ242" s="548"/>
      <c r="AR242" s="146">
        <f>IF(LEFT(M242,1)="A",AG242,0)</f>
        <v>0</v>
      </c>
      <c r="AS242" s="146">
        <f>IF(LEFT(M242,1)="K",AG242,0)</f>
        <v>0</v>
      </c>
      <c r="AT242" s="146">
        <f>IF(LEFT(M242,1)="M",AG242,0)</f>
        <v>0</v>
      </c>
      <c r="IU242"/>
      <c r="IV242"/>
    </row>
    <row r="243" spans="1:256" s="155" customFormat="1" ht="9" customHeight="1">
      <c r="A243" s="108" t="s">
        <v>41</v>
      </c>
      <c r="B243" s="109"/>
      <c r="C243" s="109"/>
      <c r="D243" s="111" t="s">
        <v>48</v>
      </c>
      <c r="E243" s="112" t="s">
        <v>43</v>
      </c>
      <c r="F243" s="112" t="s">
        <v>44</v>
      </c>
      <c r="G243" s="111" t="s">
        <v>45</v>
      </c>
      <c r="H243" s="111" t="s">
        <v>265</v>
      </c>
      <c r="I243" s="113" t="s">
        <v>47</v>
      </c>
      <c r="J243" s="208" t="s">
        <v>644</v>
      </c>
      <c r="K243" s="480"/>
      <c r="L243" s="480"/>
      <c r="M243" s="171" t="s">
        <v>576</v>
      </c>
      <c r="N243" s="171">
        <v>30</v>
      </c>
      <c r="O243" s="171">
        <v>125</v>
      </c>
      <c r="P243" s="151">
        <f>Mt___0</f>
        <v>75</v>
      </c>
      <c r="Q243" s="151">
        <f>IF(P243&lt;50,450-6*P243,IF(P243&lt;100,250-2*P243,75-P243/4))</f>
        <v>100</v>
      </c>
      <c r="R243" s="604">
        <f>Q243*O243/100</f>
        <v>125</v>
      </c>
      <c r="T243" s="108" t="s">
        <v>41</v>
      </c>
      <c r="U243" s="109"/>
      <c r="V243" s="109"/>
      <c r="W243" s="625" t="s">
        <v>48</v>
      </c>
      <c r="X243" s="111" t="s">
        <v>44</v>
      </c>
      <c r="Y243" s="118" t="s">
        <v>45</v>
      </c>
      <c r="AB243" s="208" t="s">
        <v>644</v>
      </c>
      <c r="AC243" s="480"/>
      <c r="AD243" s="323"/>
      <c r="AE243" s="153"/>
      <c r="AF243" s="575">
        <f>IF(AE243&gt;0,INDEX(lerntab___0,AE243,1),0)</f>
        <v>0</v>
      </c>
      <c r="AG243" s="576">
        <f>ROUND(AF243*R243,0)</f>
        <v>0</v>
      </c>
      <c r="AJ243" s="624"/>
      <c r="AK243" s="624"/>
      <c r="AN243" s="146">
        <f>IF(LEFT(D243,1)="A",Y243,0)</f>
        <v>0</v>
      </c>
      <c r="AO243" s="146">
        <f>IF(LEFT(D243,1)="K",Y243,0)</f>
        <v>0</v>
      </c>
      <c r="AP243" s="146">
        <f>IF(LEFT(D243,1)="M",Y243,0)</f>
        <v>0</v>
      </c>
      <c r="AQ243" s="548"/>
      <c r="AR243" s="146">
        <f>IF(LEFT(M243,1)="A",AG243,0)</f>
        <v>0</v>
      </c>
      <c r="AS243" s="146">
        <f>IF(LEFT(M243,1)="K",AG243,0)</f>
        <v>0</v>
      </c>
      <c r="AT243" s="146">
        <f>IF(LEFT(M243,1)="M",AG243,0)</f>
        <v>0</v>
      </c>
      <c r="IU243"/>
      <c r="IV243"/>
    </row>
    <row r="244" spans="1:256" s="2" customFormat="1" ht="9" customHeight="1">
      <c r="A244" s="549" t="s">
        <v>645</v>
      </c>
      <c r="B244" s="550"/>
      <c r="C244" s="550"/>
      <c r="D244" s="551"/>
      <c r="E244" s="551"/>
      <c r="F244" s="551"/>
      <c r="G244" s="552"/>
      <c r="H244" s="552"/>
      <c r="I244" s="553"/>
      <c r="J244" s="208" t="s">
        <v>636</v>
      </c>
      <c r="K244" s="480"/>
      <c r="L244" s="480"/>
      <c r="M244" s="171" t="s">
        <v>576</v>
      </c>
      <c r="N244" s="171">
        <v>30</v>
      </c>
      <c r="O244" s="171">
        <v>150</v>
      </c>
      <c r="P244" s="151">
        <f>Mt___0</f>
        <v>75</v>
      </c>
      <c r="Q244" s="151">
        <f>IF(P244&lt;50,450-6*P244,IF(P244&lt;100,250-2*P244,75-P244/4))</f>
        <v>100</v>
      </c>
      <c r="R244" s="604">
        <f>Q244*O244/100</f>
        <v>150</v>
      </c>
      <c r="T244" s="549" t="s">
        <v>645</v>
      </c>
      <c r="U244" s="550"/>
      <c r="V244" s="550"/>
      <c r="W244" s="626"/>
      <c r="X244" s="558"/>
      <c r="Y244" s="559"/>
      <c r="Z244" s="155"/>
      <c r="AA244" s="155"/>
      <c r="AB244" s="208" t="s">
        <v>636</v>
      </c>
      <c r="AC244" s="480"/>
      <c r="AD244" s="323"/>
      <c r="AE244" s="153"/>
      <c r="AF244" s="575">
        <f>IF(AE244&gt;0,INDEX(lerntab___0,AE244,1),0)</f>
        <v>0</v>
      </c>
      <c r="AG244" s="576">
        <f>ROUND(AF244*R244,0)</f>
        <v>0</v>
      </c>
      <c r="AH244" s="155"/>
      <c r="AI244" s="155"/>
      <c r="AJ244" s="624"/>
      <c r="AK244" s="624"/>
      <c r="AL244" s="155"/>
      <c r="AM244" s="155"/>
      <c r="AN244" s="146">
        <f>IF(LEFT(D244,1)="A",Y244,0)</f>
        <v>0</v>
      </c>
      <c r="AO244" s="146">
        <f>IF(LEFT(D244,1)="K",Y244,0)</f>
        <v>0</v>
      </c>
      <c r="AP244" s="146">
        <f>IF(LEFT(D244,1)="M",Y244,0)</f>
        <v>0</v>
      </c>
      <c r="AQ244" s="548"/>
      <c r="AR244" s="146">
        <f>IF(LEFT(M244,1)="A",AG244,0)</f>
        <v>0</v>
      </c>
      <c r="AS244" s="146">
        <f>IF(LEFT(M244,1)="K",AG244,0)</f>
        <v>0</v>
      </c>
      <c r="AT244" s="146">
        <f>IF(LEFT(M244,1)="M",AG244,0)</f>
        <v>0</v>
      </c>
      <c r="IU244"/>
      <c r="IV244"/>
    </row>
    <row r="245" spans="1:256" s="2" customFormat="1" ht="9" customHeight="1">
      <c r="A245" s="147" t="s">
        <v>646</v>
      </c>
      <c r="B245" s="148"/>
      <c r="C245" s="149"/>
      <c r="D245" s="150" t="s">
        <v>647</v>
      </c>
      <c r="E245" s="150" t="s">
        <v>648</v>
      </c>
      <c r="F245" s="150">
        <v>1000</v>
      </c>
      <c r="G245" s="135">
        <f>(2*Mt___0+2*Kom+Int)/5</f>
        <v>75</v>
      </c>
      <c r="H245" s="135">
        <f>IF(G245&lt;50,450-6*G245,IF(G245&lt;100,250-2*G245,75-G245/4))</f>
        <v>100</v>
      </c>
      <c r="I245" s="136">
        <f>H245*F245/100</f>
        <v>1000</v>
      </c>
      <c r="J245" s="627" t="s">
        <v>649</v>
      </c>
      <c r="K245" s="628"/>
      <c r="L245" s="628"/>
      <c r="M245" s="622" t="s">
        <v>576</v>
      </c>
      <c r="N245" s="622">
        <v>30</v>
      </c>
      <c r="O245" s="622">
        <v>225</v>
      </c>
      <c r="P245" s="513">
        <f>Mt___0</f>
        <v>75</v>
      </c>
      <c r="Q245" s="513">
        <f>IF(P245&lt;50,450-6*P245,IF(P245&lt;100,250-2*P245,75-P245/4))</f>
        <v>100</v>
      </c>
      <c r="R245" s="629">
        <f>Q245*O245/100</f>
        <v>225</v>
      </c>
      <c r="T245" s="187" t="s">
        <v>646</v>
      </c>
      <c r="U245" s="137"/>
      <c r="V245" s="138"/>
      <c r="W245" s="153"/>
      <c r="X245" s="140">
        <f>IF(W245&gt;0,INDEX(lerntab___0,W245,1),0)</f>
        <v>0</v>
      </c>
      <c r="Y245" s="141">
        <f>ROUND(X245*I245,0)</f>
        <v>0</v>
      </c>
      <c r="Z245" s="155"/>
      <c r="AA245" s="155"/>
      <c r="AB245" s="627" t="s">
        <v>649</v>
      </c>
      <c r="AC245" s="628"/>
      <c r="AD245" s="591"/>
      <c r="AE245" s="592"/>
      <c r="AF245" s="593">
        <f>IF(AE245&gt;0,INDEX(lerntab___0,AE245,1),0)</f>
        <v>0</v>
      </c>
      <c r="AG245" s="594">
        <f>ROUND(AF245*R245,0)</f>
        <v>0</v>
      </c>
      <c r="AH245" s="155"/>
      <c r="AI245" s="155"/>
      <c r="AJ245" s="624"/>
      <c r="AK245" s="624"/>
      <c r="AL245" s="155"/>
      <c r="AM245" s="155"/>
      <c r="AN245" s="146">
        <f>IF(LEFT(D245,1)="A",Y245,0)</f>
        <v>0</v>
      </c>
      <c r="AO245" s="146">
        <f>IF(LEFT(D245,1)="K",Y245,0)</f>
        <v>0</v>
      </c>
      <c r="AP245" s="146">
        <f>IF(LEFT(D245,1)="M",Y245,0)</f>
        <v>0</v>
      </c>
      <c r="AQ245" s="548"/>
      <c r="AR245" s="146">
        <f>IF(LEFT(M245,1)="A",AG245,0)</f>
        <v>0</v>
      </c>
      <c r="AS245" s="146">
        <f>IF(LEFT(M245,1)="K",AG245,0)</f>
        <v>0</v>
      </c>
      <c r="AT245" s="146">
        <f>IF(LEFT(M245,1)="M",AG245,0)</f>
        <v>0</v>
      </c>
      <c r="IU245"/>
      <c r="IV245"/>
    </row>
    <row r="246" spans="1:256" s="2" customFormat="1" ht="9" customHeight="1">
      <c r="A246" s="147" t="s">
        <v>650</v>
      </c>
      <c r="B246" s="148"/>
      <c r="C246" s="149"/>
      <c r="D246" s="150" t="s">
        <v>647</v>
      </c>
      <c r="E246" s="150" t="s">
        <v>567</v>
      </c>
      <c r="F246" s="150">
        <v>75</v>
      </c>
      <c r="G246" s="135">
        <f>(2*Mt___0+2*Kom+Int)/5</f>
        <v>75</v>
      </c>
      <c r="H246" s="135">
        <f>IF(G246&lt;50,450-6*G246,IF(G246&lt;100,250-2*G246,75-G246/4))</f>
        <v>100</v>
      </c>
      <c r="I246" s="136">
        <f>H246*F246/100</f>
        <v>75</v>
      </c>
      <c r="J246" s="630"/>
      <c r="K246" s="631"/>
      <c r="L246" s="631"/>
      <c r="M246" s="632"/>
      <c r="N246" s="632"/>
      <c r="O246" s="632"/>
      <c r="P246" s="633"/>
      <c r="Q246" s="633"/>
      <c r="R246" s="634"/>
      <c r="T246" s="187" t="s">
        <v>651</v>
      </c>
      <c r="U246" s="137"/>
      <c r="V246" s="138"/>
      <c r="W246" s="153"/>
      <c r="X246" s="140">
        <f>IF(W246&gt;0,INDEX(lerntab___0,W246,1),0)</f>
        <v>0</v>
      </c>
      <c r="Y246" s="141">
        <f>ROUND(X246*I246,0)</f>
        <v>0</v>
      </c>
      <c r="Z246" s="155"/>
      <c r="AA246" s="155"/>
      <c r="AB246" s="458"/>
      <c r="AC246" s="459"/>
      <c r="AD246" s="635"/>
      <c r="AE246" s="636"/>
      <c r="AF246" s="636"/>
      <c r="AG246" s="637"/>
      <c r="AH246" s="155"/>
      <c r="AI246" s="155"/>
      <c r="AJ246" s="624"/>
      <c r="AK246" s="624"/>
      <c r="AL246" s="155"/>
      <c r="AM246" s="155"/>
      <c r="AN246" s="146">
        <f>IF(LEFT(D246,1)="A",Y246,0)</f>
        <v>0</v>
      </c>
      <c r="AO246" s="146">
        <f>IF(LEFT(D246,1)="K",Y246,0)</f>
        <v>0</v>
      </c>
      <c r="AP246" s="146">
        <f>IF(LEFT(D246,1)="M",Y246,0)</f>
        <v>0</v>
      </c>
      <c r="AQ246" s="548"/>
      <c r="AR246" s="146">
        <f>IF(LEFT(M246,1)="A",AG246,0)</f>
        <v>0</v>
      </c>
      <c r="AS246" s="146">
        <f>IF(LEFT(M246,1)="K",AG246,0)</f>
        <v>0</v>
      </c>
      <c r="AT246" s="146">
        <f>IF(LEFT(M246,1)="M",AG246,0)</f>
        <v>0</v>
      </c>
      <c r="IU246"/>
      <c r="IV246"/>
    </row>
    <row r="247" spans="1:256" s="2" customFormat="1" ht="9" customHeight="1">
      <c r="A247" s="147" t="s">
        <v>651</v>
      </c>
      <c r="B247" s="148"/>
      <c r="C247" s="149"/>
      <c r="D247" s="150" t="s">
        <v>647</v>
      </c>
      <c r="E247" s="150" t="s">
        <v>567</v>
      </c>
      <c r="F247" s="150">
        <v>90</v>
      </c>
      <c r="G247" s="135">
        <f>(2*Mt___0+2*Kom+Int)/5</f>
        <v>75</v>
      </c>
      <c r="H247" s="135">
        <f>IF(G247&lt;50,450-6*G247,IF(G247&lt;100,250-2*G247,75-G247/4))</f>
        <v>100</v>
      </c>
      <c r="I247" s="136">
        <f>H247*F247/100</f>
        <v>90</v>
      </c>
      <c r="J247" s="638"/>
      <c r="K247" s="639"/>
      <c r="L247" s="639"/>
      <c r="M247" s="640"/>
      <c r="N247" s="640"/>
      <c r="O247" s="640"/>
      <c r="P247" s="641"/>
      <c r="Q247" s="641"/>
      <c r="R247" s="642"/>
      <c r="T247" s="187" t="s">
        <v>651</v>
      </c>
      <c r="U247" s="137"/>
      <c r="V247" s="138"/>
      <c r="W247" s="153"/>
      <c r="X247" s="140">
        <f>IF(W247&gt;0,INDEX(lerntab___0,W247,1),0)</f>
        <v>0</v>
      </c>
      <c r="Y247" s="141">
        <f>ROUND(X247*I247,0)</f>
        <v>0</v>
      </c>
      <c r="Z247" s="155"/>
      <c r="AA247" s="155"/>
      <c r="AB247" s="462"/>
      <c r="AC247" s="463"/>
      <c r="AD247" s="267"/>
      <c r="AE247" s="537"/>
      <c r="AF247" s="537"/>
      <c r="AG247" s="142"/>
      <c r="AH247" s="155"/>
      <c r="AI247" s="155"/>
      <c r="AJ247" s="624"/>
      <c r="AK247" s="624"/>
      <c r="AL247" s="155"/>
      <c r="AM247" s="155"/>
      <c r="AN247" s="146">
        <f>IF(LEFT(D247,1)="A",Y247,0)</f>
        <v>0</v>
      </c>
      <c r="AO247" s="146">
        <f>IF(LEFT(D247,1)="K",Y247,0)</f>
        <v>0</v>
      </c>
      <c r="AP247" s="146">
        <f>IF(LEFT(D247,1)="M",Y247,0)</f>
        <v>0</v>
      </c>
      <c r="AQ247" s="548"/>
      <c r="AR247" s="146">
        <f>IF(LEFT(M247,1)="A",AG247,0)</f>
        <v>0</v>
      </c>
      <c r="AS247" s="146">
        <f>IF(LEFT(M247,1)="K",AG247,0)</f>
        <v>0</v>
      </c>
      <c r="AT247" s="146">
        <f>IF(LEFT(M247,1)="M",AG247,0)</f>
        <v>0</v>
      </c>
      <c r="IU247"/>
      <c r="IV247"/>
    </row>
    <row r="248" spans="1:256" s="2" customFormat="1" ht="9" customHeight="1">
      <c r="A248" s="147" t="s">
        <v>652</v>
      </c>
      <c r="B248" s="148"/>
      <c r="C248" s="149"/>
      <c r="D248" s="150" t="s">
        <v>521</v>
      </c>
      <c r="E248" s="150" t="s">
        <v>567</v>
      </c>
      <c r="F248" s="150">
        <v>100</v>
      </c>
      <c r="G248" s="135">
        <f>(2*Mt___0+2*Kom+Int)/5</f>
        <v>75</v>
      </c>
      <c r="H248" s="135">
        <f>IF(G248&lt;50,450-6*G248,IF(G248&lt;100,250-2*G248,75-G248/4))</f>
        <v>100</v>
      </c>
      <c r="I248" s="136">
        <f>H248*F248/100</f>
        <v>100</v>
      </c>
      <c r="J248" s="638"/>
      <c r="K248" s="639"/>
      <c r="L248" s="639"/>
      <c r="M248" s="640"/>
      <c r="N248" s="640"/>
      <c r="O248" s="640"/>
      <c r="P248" s="641"/>
      <c r="Q248" s="641"/>
      <c r="R248" s="642"/>
      <c r="T248" s="187" t="s">
        <v>652</v>
      </c>
      <c r="U248" s="137"/>
      <c r="V248" s="138"/>
      <c r="W248" s="153"/>
      <c r="X248" s="140">
        <f>IF(W248&gt;0,INDEX(lerntab___0,W248,1),0)</f>
        <v>0</v>
      </c>
      <c r="Y248" s="141">
        <f>ROUND(X248*I248,0)</f>
        <v>0</v>
      </c>
      <c r="Z248" s="155"/>
      <c r="AA248" s="155"/>
      <c r="AB248" s="462"/>
      <c r="AC248" s="463"/>
      <c r="AD248" s="267"/>
      <c r="AE248" s="537"/>
      <c r="AF248" s="537"/>
      <c r="AG248" s="142"/>
      <c r="AH248" s="155"/>
      <c r="AI248" s="155"/>
      <c r="AJ248" s="624"/>
      <c r="AK248" s="624"/>
      <c r="AL248" s="155"/>
      <c r="AM248" s="155"/>
      <c r="AN248" s="146">
        <f>IF(LEFT(D248,1)="A",Y248,0)</f>
        <v>0</v>
      </c>
      <c r="AO248" s="146">
        <f>IF(LEFT(D248,1)="K",Y248,0)</f>
        <v>0</v>
      </c>
      <c r="AP248" s="146">
        <f>IF(LEFT(D248,1)="M",Y248,0)</f>
        <v>0</v>
      </c>
      <c r="AQ248" s="548"/>
      <c r="AR248" s="146">
        <f>IF(LEFT(M248,1)="A",AG248,0)</f>
        <v>0</v>
      </c>
      <c r="AS248" s="146">
        <f>IF(LEFT(M248,1)="K",AG248,0)</f>
        <v>0</v>
      </c>
      <c r="AT248" s="146">
        <f>IF(LEFT(M248,1)="M",AG248,0)</f>
        <v>0</v>
      </c>
      <c r="IU248"/>
      <c r="IV248"/>
    </row>
    <row r="249" spans="1:256" s="2" customFormat="1" ht="9" customHeight="1">
      <c r="A249" s="147" t="s">
        <v>653</v>
      </c>
      <c r="B249" s="148"/>
      <c r="C249" s="149"/>
      <c r="D249" s="150" t="s">
        <v>647</v>
      </c>
      <c r="E249" s="150" t="s">
        <v>567</v>
      </c>
      <c r="F249" s="150">
        <v>250</v>
      </c>
      <c r="G249" s="135">
        <f>(2*Mt___0+2*Kom+Int)/5</f>
        <v>75</v>
      </c>
      <c r="H249" s="135">
        <f>IF(G249&lt;50,450-6*G249,IF(G249&lt;100,250-2*G249,75-G249/4))</f>
        <v>100</v>
      </c>
      <c r="I249" s="136">
        <f>H249*F249/100</f>
        <v>250</v>
      </c>
      <c r="J249" s="638"/>
      <c r="K249" s="639"/>
      <c r="L249" s="639"/>
      <c r="M249" s="640"/>
      <c r="N249" s="640"/>
      <c r="O249" s="640"/>
      <c r="P249" s="641"/>
      <c r="Q249" s="641"/>
      <c r="R249" s="642"/>
      <c r="T249" s="187" t="s">
        <v>653</v>
      </c>
      <c r="U249" s="137"/>
      <c r="V249" s="138"/>
      <c r="W249" s="153"/>
      <c r="X249" s="140">
        <f>IF(W249&gt;0,INDEX(lerntab___0,W249,1),0)</f>
        <v>0</v>
      </c>
      <c r="Y249" s="141">
        <f>ROUND(X249*I249,0)</f>
        <v>0</v>
      </c>
      <c r="Z249" s="155"/>
      <c r="AA249" s="155"/>
      <c r="AB249" s="462"/>
      <c r="AC249" s="463"/>
      <c r="AD249" s="267"/>
      <c r="AE249" s="537"/>
      <c r="AF249" s="537"/>
      <c r="AG249" s="142"/>
      <c r="AH249" s="155"/>
      <c r="AI249" s="155"/>
      <c r="AJ249" s="624"/>
      <c r="AK249" s="624"/>
      <c r="AL249" s="155"/>
      <c r="AM249" s="155"/>
      <c r="AN249" s="146">
        <f>IF(LEFT(D249,1)="A",Y249,0)</f>
        <v>0</v>
      </c>
      <c r="AO249" s="146">
        <f>IF(LEFT(D249,1)="K",Y249,0)</f>
        <v>0</v>
      </c>
      <c r="AP249" s="146">
        <f>IF(LEFT(D249,1)="M",Y249,0)</f>
        <v>0</v>
      </c>
      <c r="AQ249" s="548"/>
      <c r="AR249" s="146">
        <f>IF(LEFT(M249,1)="A",AG249,0)</f>
        <v>0</v>
      </c>
      <c r="AS249" s="146">
        <f>IF(LEFT(M249,1)="K",AG249,0)</f>
        <v>0</v>
      </c>
      <c r="AT249" s="146">
        <f>IF(LEFT(M249,1)="M",AG249,0)</f>
        <v>0</v>
      </c>
      <c r="IU249"/>
      <c r="IV249"/>
    </row>
    <row r="250" spans="1:256" s="2" customFormat="1" ht="9" customHeight="1">
      <c r="A250" s="509" t="s">
        <v>654</v>
      </c>
      <c r="B250" s="510"/>
      <c r="C250" s="643"/>
      <c r="D250" s="512" t="s">
        <v>655</v>
      </c>
      <c r="E250" s="512" t="s">
        <v>648</v>
      </c>
      <c r="F250" s="512">
        <v>60</v>
      </c>
      <c r="G250" s="514">
        <f>(2*Mt___0+2*Kom+Int)/5</f>
        <v>75</v>
      </c>
      <c r="H250" s="514">
        <f>IF(G250&lt;50,450-6*G250,IF(G250&lt;100,250-2*G250,75-G250/4))</f>
        <v>100</v>
      </c>
      <c r="I250" s="515">
        <f>H250*F250/100</f>
        <v>60</v>
      </c>
      <c r="J250" s="644"/>
      <c r="K250" s="645"/>
      <c r="L250" s="645"/>
      <c r="M250" s="646"/>
      <c r="N250" s="646"/>
      <c r="O250" s="646"/>
      <c r="P250" s="647"/>
      <c r="Q250" s="647"/>
      <c r="R250" s="648"/>
      <c r="T250" s="353" t="s">
        <v>654</v>
      </c>
      <c r="U250" s="354"/>
      <c r="V250" s="623"/>
      <c r="W250" s="592"/>
      <c r="X250" s="356">
        <f>IF(W250&gt;0,INDEX(lerntab___0,W250,1),0)</f>
        <v>0</v>
      </c>
      <c r="Y250" s="357">
        <f>ROUND(X250*I250,0)</f>
        <v>0</v>
      </c>
      <c r="Z250" s="155"/>
      <c r="AA250" s="155"/>
      <c r="AB250" s="462"/>
      <c r="AC250" s="463"/>
      <c r="AD250" s="267"/>
      <c r="AE250" s="537"/>
      <c r="AF250" s="537"/>
      <c r="AG250" s="142"/>
      <c r="AH250" s="155"/>
      <c r="AI250" s="155"/>
      <c r="AJ250" s="624"/>
      <c r="AK250" s="624"/>
      <c r="AL250" s="155"/>
      <c r="AM250" s="155"/>
      <c r="AN250" s="146">
        <f>IF(LEFT(D250,1)="A",Y250,0)</f>
        <v>0</v>
      </c>
      <c r="AO250" s="146">
        <f>IF(LEFT(D250,1)="K",Y250,0)</f>
        <v>0</v>
      </c>
      <c r="AP250" s="146">
        <f>IF(LEFT(D250,1)="M",Y250,0)</f>
        <v>0</v>
      </c>
      <c r="AQ250" s="548"/>
      <c r="AR250" s="146">
        <f>IF(LEFT(M250,1)="A",AG250,0)</f>
        <v>0</v>
      </c>
      <c r="AS250" s="146">
        <f>IF(LEFT(M250,1)="K",AG250,0)</f>
        <v>0</v>
      </c>
      <c r="AT250" s="146">
        <f>IF(LEFT(M250,1)="M",AG250,0)</f>
        <v>0</v>
      </c>
      <c r="IU250"/>
      <c r="IV250"/>
    </row>
    <row r="251" spans="1:256" s="2" customFormat="1" ht="12.75">
      <c r="A251" s="155"/>
      <c r="B251" s="155"/>
      <c r="C251" s="155"/>
      <c r="D251" s="155"/>
      <c r="E251" s="649"/>
      <c r="F251" s="649"/>
      <c r="G251" s="624"/>
      <c r="H251" s="624"/>
      <c r="I251" s="624"/>
      <c r="J251" s="4"/>
      <c r="K251" s="4"/>
      <c r="L251" s="4"/>
      <c r="T251" s="155"/>
      <c r="U251" s="155"/>
      <c r="V251" s="155"/>
      <c r="W251" s="155"/>
      <c r="X251" s="155"/>
      <c r="Y251" s="155"/>
      <c r="Z251" s="155"/>
      <c r="AA251" s="155"/>
      <c r="AH251" s="155"/>
      <c r="AJ251" s="4"/>
      <c r="AN251" s="146">
        <f>IF(LEFT(D251,1)="A",Y251,0)</f>
        <v>0</v>
      </c>
      <c r="AO251" s="146">
        <f>IF(LEFT(D251,1)="K",Y251,0)</f>
        <v>0</v>
      </c>
      <c r="AP251" s="146">
        <f>IF(LEFT(D251,1)="M",Y251,0)</f>
        <v>0</v>
      </c>
      <c r="AQ251" s="548"/>
      <c r="AR251" s="146">
        <f>IF(LEFT(M251,1)="A",AG251,0)</f>
        <v>0</v>
      </c>
      <c r="AS251" s="146">
        <f>IF(LEFT(M251,1)="K",AG251,0)</f>
        <v>0</v>
      </c>
      <c r="AT251" s="146">
        <f>IF(LEFT(M251,1)="M",AG251,0)</f>
        <v>0</v>
      </c>
      <c r="IU251"/>
      <c r="IV251"/>
    </row>
    <row r="252" spans="1:256" s="2" customFormat="1" ht="12.75">
      <c r="A252" s="155"/>
      <c r="B252" s="155"/>
      <c r="C252" s="155"/>
      <c r="D252" s="155"/>
      <c r="E252" s="649"/>
      <c r="F252" s="649"/>
      <c r="G252" s="624"/>
      <c r="H252" s="624"/>
      <c r="I252" s="624"/>
      <c r="J252" s="4"/>
      <c r="K252" s="4"/>
      <c r="L252" s="4"/>
      <c r="T252" s="155"/>
      <c r="U252" s="155"/>
      <c r="V252" s="155"/>
      <c r="W252" s="155"/>
      <c r="X252" s="155"/>
      <c r="Y252" s="155"/>
      <c r="Z252" s="155"/>
      <c r="AA252" s="155"/>
      <c r="AG252" s="155"/>
      <c r="AI252" s="4"/>
      <c r="AN252" s="146">
        <f>IF(LEFT(C252,1)="A",Y252,0)</f>
        <v>0</v>
      </c>
      <c r="AO252" s="146">
        <f>IF(LEFT(C252,1)="K",Y252,0)</f>
        <v>0</v>
      </c>
      <c r="AP252" s="146">
        <f>IF(LEFT(C252,1)="M",Y252,0)</f>
        <v>0</v>
      </c>
      <c r="AQ252" s="146"/>
      <c r="AR252" s="146">
        <f>IF(LEFT(M252,1)="A",AF252,0)</f>
        <v>0</v>
      </c>
      <c r="AS252" s="146">
        <f>IF(LEFT(M252,1)="K",AF252,0)</f>
        <v>0</v>
      </c>
      <c r="AT252" s="146">
        <f>IF(LEFT(M252,1)="M",AF252,0)</f>
        <v>0</v>
      </c>
      <c r="IT252"/>
      <c r="IU252"/>
      <c r="IV252"/>
    </row>
    <row r="253" spans="1:256" s="2" customFormat="1" ht="12.75">
      <c r="A253" s="274" t="s">
        <v>9</v>
      </c>
      <c r="B253" s="275" t="str">
        <f>B4</f>
        <v>Name bitte hier eintragen!</v>
      </c>
      <c r="C253" s="275"/>
      <c r="D253" s="276"/>
      <c r="E253" s="276"/>
      <c r="F253" s="276"/>
      <c r="G253" s="277"/>
      <c r="H253" s="277"/>
      <c r="I253" s="277"/>
      <c r="J253" s="541"/>
      <c r="K253" s="278" t="s">
        <v>656</v>
      </c>
      <c r="L253" s="542"/>
      <c r="M253" s="542"/>
      <c r="N253" s="542"/>
      <c r="O253" s="543"/>
      <c r="P253" s="544"/>
      <c r="Q253" s="545"/>
      <c r="R253" s="283"/>
      <c r="T253" s="108" t="s">
        <v>41</v>
      </c>
      <c r="U253" s="109"/>
      <c r="V253" s="109"/>
      <c r="W253" s="111" t="s">
        <v>49</v>
      </c>
      <c r="X253" s="111" t="s">
        <v>50</v>
      </c>
      <c r="Y253" s="118" t="s">
        <v>51</v>
      </c>
      <c r="Z253" s="155"/>
      <c r="AA253" s="108" t="s">
        <v>41</v>
      </c>
      <c r="AB253" s="109"/>
      <c r="AC253" s="110"/>
      <c r="AD253" s="111" t="s">
        <v>49</v>
      </c>
      <c r="AE253" s="111" t="s">
        <v>50</v>
      </c>
      <c r="AF253" s="118" t="s">
        <v>51</v>
      </c>
      <c r="AG253" s="155"/>
      <c r="AI253" s="4"/>
      <c r="AN253" s="146">
        <f>IF(LEFT(C253,1)="A",Y253,0)</f>
        <v>0</v>
      </c>
      <c r="AO253" s="146">
        <f>IF(LEFT(C253,1)="K",Y253,0)</f>
        <v>0</v>
      </c>
      <c r="AP253" s="146">
        <f>IF(LEFT(C253,1)="M",Y253,0)</f>
        <v>0</v>
      </c>
      <c r="AQ253" s="146"/>
      <c r="AR253" s="146">
        <f>IF(LEFT(M253,1)="A",AF253,0)</f>
        <v>0</v>
      </c>
      <c r="AS253" s="146">
        <f>IF(LEFT(M253,1)="K",AF253,0)</f>
        <v>0</v>
      </c>
      <c r="AT253" s="146">
        <f>IF(LEFT(M253,1)="M",AF253,0)</f>
        <v>0</v>
      </c>
      <c r="IT253"/>
      <c r="IU253"/>
      <c r="IV253"/>
    </row>
    <row r="254" spans="1:256" s="2" customFormat="1" ht="9" customHeight="1">
      <c r="A254" s="650" t="s">
        <v>657</v>
      </c>
      <c r="B254" s="651"/>
      <c r="C254" s="651"/>
      <c r="D254" s="652"/>
      <c r="E254" s="127"/>
      <c r="F254" s="555"/>
      <c r="G254" s="556"/>
      <c r="H254" s="556"/>
      <c r="I254" s="557"/>
      <c r="J254" s="650" t="s">
        <v>658</v>
      </c>
      <c r="K254" s="651"/>
      <c r="L254" s="651"/>
      <c r="M254" s="652"/>
      <c r="N254" s="127"/>
      <c r="O254" s="555"/>
      <c r="P254" s="556"/>
      <c r="Q254" s="556"/>
      <c r="R254" s="557"/>
      <c r="T254" s="653" t="s">
        <v>657</v>
      </c>
      <c r="U254" s="550"/>
      <c r="V254" s="550"/>
      <c r="W254" s="551"/>
      <c r="X254" s="558"/>
      <c r="Y254" s="559"/>
      <c r="Z254" s="155"/>
      <c r="AA254" s="560" t="s">
        <v>658</v>
      </c>
      <c r="AB254" s="308"/>
      <c r="AC254" s="550"/>
      <c r="AD254" s="551"/>
      <c r="AE254" s="558"/>
      <c r="AF254" s="559"/>
      <c r="AG254" s="155"/>
      <c r="AI254" s="4"/>
      <c r="AN254" s="146">
        <f>IF(LEFT(C254,1)="A",Y254,0)</f>
        <v>0</v>
      </c>
      <c r="AO254" s="146">
        <f>IF(LEFT(C254,1)="K",Y254,0)</f>
        <v>0</v>
      </c>
      <c r="AP254" s="146">
        <f>IF(LEFT(C254,1)="M",Y254,0)</f>
        <v>0</v>
      </c>
      <c r="AQ254" s="146"/>
      <c r="AR254" s="146">
        <f>IF(LEFT(M254,1)="A",AF254,0)</f>
        <v>0</v>
      </c>
      <c r="AS254" s="146">
        <f>IF(LEFT(M254,1)="K",AF254,0)</f>
        <v>0</v>
      </c>
      <c r="AT254" s="146">
        <f>IF(LEFT(M254,1)="M",AF254,0)</f>
        <v>0</v>
      </c>
      <c r="IT254"/>
      <c r="IU254"/>
      <c r="IV254"/>
    </row>
    <row r="255" spans="1:256" s="2" customFormat="1" ht="9" customHeight="1">
      <c r="A255" s="479" t="s">
        <v>659</v>
      </c>
      <c r="B255" s="132"/>
      <c r="C255" s="132"/>
      <c r="D255" s="148"/>
      <c r="E255" s="148"/>
      <c r="F255" s="314"/>
      <c r="G255" s="490"/>
      <c r="H255" s="490"/>
      <c r="I255" s="130"/>
      <c r="J255" s="197" t="s">
        <v>660</v>
      </c>
      <c r="K255" s="182"/>
      <c r="L255" s="182"/>
      <c r="M255" s="212"/>
      <c r="N255" s="212"/>
      <c r="O255" s="212"/>
      <c r="P255" s="199"/>
      <c r="Q255" s="199"/>
      <c r="R255" s="130"/>
      <c r="T255" s="479" t="s">
        <v>659</v>
      </c>
      <c r="U255" s="211"/>
      <c r="V255" s="211"/>
      <c r="W255" s="212"/>
      <c r="X255" s="182"/>
      <c r="Y255" s="183"/>
      <c r="Z255" s="155"/>
      <c r="AA255" s="197" t="s">
        <v>660</v>
      </c>
      <c r="AB255" s="137"/>
      <c r="AC255" s="211"/>
      <c r="AD255" s="212"/>
      <c r="AE255" s="182"/>
      <c r="AF255" s="183"/>
      <c r="AG255" s="155"/>
      <c r="AI255" s="4"/>
      <c r="AN255" s="146">
        <f>IF(LEFT(C255,1)="A",Y255,0)</f>
        <v>0</v>
      </c>
      <c r="AO255" s="146">
        <f>IF(LEFT(C255,1)="K",Y255,0)</f>
        <v>0</v>
      </c>
      <c r="AP255" s="146">
        <f>IF(LEFT(C255,1)="M",Y255,0)</f>
        <v>0</v>
      </c>
      <c r="AQ255" s="146"/>
      <c r="AR255" s="146">
        <f>IF(LEFT(M255,1)="A",AF255,0)</f>
        <v>0</v>
      </c>
      <c r="AS255" s="146">
        <f>IF(LEFT(M255,1)="K",AF255,0)</f>
        <v>0</v>
      </c>
      <c r="AT255" s="146">
        <f>IF(LEFT(M255,1)="M",AF255,0)</f>
        <v>0</v>
      </c>
      <c r="IT255"/>
      <c r="IU255"/>
      <c r="IV255"/>
    </row>
    <row r="256" spans="1:256" s="2" customFormat="1" ht="9" customHeight="1">
      <c r="A256" s="131" t="s">
        <v>661</v>
      </c>
      <c r="B256" s="132"/>
      <c r="C256" s="132"/>
      <c r="D256" s="171" t="s">
        <v>590</v>
      </c>
      <c r="E256" s="134">
        <v>10</v>
      </c>
      <c r="F256" s="150">
        <v>5</v>
      </c>
      <c r="G256" s="135">
        <f>(3*Mt___0+Int+Kr___0)/5</f>
        <v>75</v>
      </c>
      <c r="H256" s="135">
        <f>IF(G256&lt;50,450-6*G256,IF(G256&lt;100,250-2*G256,75-G256/4))</f>
        <v>100</v>
      </c>
      <c r="I256" s="136">
        <f>H256*F256/100</f>
        <v>5</v>
      </c>
      <c r="J256" s="131" t="s">
        <v>662</v>
      </c>
      <c r="K256" s="132"/>
      <c r="L256" s="132" t="s">
        <v>663</v>
      </c>
      <c r="M256" s="171" t="s">
        <v>590</v>
      </c>
      <c r="N256" s="134">
        <v>-5</v>
      </c>
      <c r="O256" s="150">
        <v>25</v>
      </c>
      <c r="P256" s="135">
        <f>(3*Mt___0+Int+Ges)/5</f>
        <v>75</v>
      </c>
      <c r="Q256" s="135">
        <f>IF(P256&lt;50,450-6*P256,IF(P256&lt;100,250-2*P256,75-P256/4))</f>
        <v>100</v>
      </c>
      <c r="R256" s="569">
        <f>Q256*O256/100</f>
        <v>25</v>
      </c>
      <c r="T256" s="131" t="s">
        <v>661</v>
      </c>
      <c r="U256" s="137"/>
      <c r="V256" s="138"/>
      <c r="W256" s="153"/>
      <c r="X256" s="140">
        <f>IF(W256&gt;0,INDEX(lerntab___0,W256,1),0)</f>
        <v>0</v>
      </c>
      <c r="Y256" s="141">
        <f>ROUND(X256*I256,0)</f>
        <v>0</v>
      </c>
      <c r="Z256" s="155"/>
      <c r="AA256" s="131" t="s">
        <v>662</v>
      </c>
      <c r="AB256" s="137"/>
      <c r="AC256" s="138"/>
      <c r="AD256" s="139"/>
      <c r="AE256" s="140">
        <f>IF(AD256&gt;0,INDEX(lerntab___0,AD256,1),0)</f>
        <v>0</v>
      </c>
      <c r="AF256" s="141">
        <f>ROUND(AE256*R256,0)</f>
        <v>0</v>
      </c>
      <c r="AG256" s="155"/>
      <c r="AI256" s="4"/>
      <c r="AN256" s="146">
        <f>IF(LEFT(C256,1)="A",Y256,0)</f>
        <v>0</v>
      </c>
      <c r="AO256" s="146">
        <f>IF(LEFT(C256,1)="K",Y256,0)</f>
        <v>0</v>
      </c>
      <c r="AP256" s="146">
        <f>IF(LEFT(C256,1)="M",Y256,0)</f>
        <v>0</v>
      </c>
      <c r="AQ256" s="146"/>
      <c r="AR256" s="146">
        <f>IF(LEFT(M256,1)="A",AF256,0)</f>
        <v>0</v>
      </c>
      <c r="AS256" s="146">
        <f>IF(LEFT(M256,1)="K",AF256,0)</f>
        <v>0</v>
      </c>
      <c r="AT256" s="146">
        <f>IF(LEFT(M256,1)="M",AF256,0)</f>
        <v>0</v>
      </c>
      <c r="IT256"/>
      <c r="IU256"/>
      <c r="IV256"/>
    </row>
    <row r="257" spans="1:256" s="2" customFormat="1" ht="9" customHeight="1">
      <c r="A257" s="131" t="s">
        <v>664</v>
      </c>
      <c r="B257" s="132"/>
      <c r="C257" s="132"/>
      <c r="D257" s="171" t="s">
        <v>590</v>
      </c>
      <c r="E257" s="134">
        <v>-5</v>
      </c>
      <c r="F257" s="134">
        <v>10</v>
      </c>
      <c r="G257" s="135">
        <f>(3*Mt___0+Int+Kr___0)/5</f>
        <v>75</v>
      </c>
      <c r="H257" s="135">
        <f>IF(G257&lt;50,450-6*G257,IF(G257&lt;100,250-2*G257,75-G257/4))</f>
        <v>100</v>
      </c>
      <c r="I257" s="136">
        <f>H257*F257/100</f>
        <v>10</v>
      </c>
      <c r="J257" s="131" t="s">
        <v>665</v>
      </c>
      <c r="K257" s="132"/>
      <c r="L257" s="132" t="s">
        <v>663</v>
      </c>
      <c r="M257" s="171" t="s">
        <v>590</v>
      </c>
      <c r="N257" s="134">
        <v>-5</v>
      </c>
      <c r="O257" s="150">
        <v>25</v>
      </c>
      <c r="P257" s="135">
        <f>(3*Mt___0+Int+Ges)/5</f>
        <v>75</v>
      </c>
      <c r="Q257" s="135">
        <f>IF(P257&lt;50,450-6*P257,IF(P257&lt;100,250-2*P257,75-P257/4))</f>
        <v>100</v>
      </c>
      <c r="R257" s="569">
        <f>Q257*O257/100</f>
        <v>25</v>
      </c>
      <c r="T257" s="131" t="s">
        <v>664</v>
      </c>
      <c r="U257" s="137"/>
      <c r="V257" s="138"/>
      <c r="W257" s="153"/>
      <c r="X257" s="140">
        <f>IF(W257&gt;0,INDEX(lerntab___0,W257,1),0)</f>
        <v>0</v>
      </c>
      <c r="Y257" s="141">
        <f>ROUND(X257*I257,0)</f>
        <v>0</v>
      </c>
      <c r="Z257" s="155"/>
      <c r="AA257" s="131" t="s">
        <v>665</v>
      </c>
      <c r="AB257" s="137"/>
      <c r="AC257" s="138"/>
      <c r="AD257" s="139"/>
      <c r="AE257" s="140">
        <f>IF(AD257&gt;0,INDEX(lerntab___0,AD257,1),0)</f>
        <v>0</v>
      </c>
      <c r="AF257" s="141">
        <f>ROUND(AE257*R257,0)</f>
        <v>0</v>
      </c>
      <c r="AG257" s="155"/>
      <c r="AI257" s="4"/>
      <c r="AN257" s="146">
        <f>IF(LEFT(C257,1)="A",Y257,0)</f>
        <v>0</v>
      </c>
      <c r="AO257" s="146">
        <f>IF(LEFT(C257,1)="K",Y257,0)</f>
        <v>0</v>
      </c>
      <c r="AP257" s="146">
        <f>IF(LEFT(C257,1)="M",Y257,0)</f>
        <v>0</v>
      </c>
      <c r="AQ257" s="146"/>
      <c r="AR257" s="146">
        <f>IF(LEFT(M257,1)="A",AF257,0)</f>
        <v>0</v>
      </c>
      <c r="AS257" s="146">
        <f>IF(LEFT(M257,1)="K",AF257,0)</f>
        <v>0</v>
      </c>
      <c r="AT257" s="146">
        <f>IF(LEFT(M257,1)="M",AF257,0)</f>
        <v>0</v>
      </c>
      <c r="IT257"/>
      <c r="IU257"/>
      <c r="IV257"/>
    </row>
    <row r="258" spans="1:256" s="2" customFormat="1" ht="9" customHeight="1">
      <c r="A258" s="131" t="s">
        <v>666</v>
      </c>
      <c r="B258" s="132"/>
      <c r="C258" s="133"/>
      <c r="D258" s="171" t="s">
        <v>590</v>
      </c>
      <c r="E258" s="134">
        <v>-5</v>
      </c>
      <c r="F258" s="134">
        <v>15</v>
      </c>
      <c r="G258" s="135">
        <f>(3*Mt___0+Int+Kr___0)/5</f>
        <v>75</v>
      </c>
      <c r="H258" s="135">
        <f>IF(G258&lt;50,450-6*G258,IF(G258&lt;100,250-2*G258,75-G258/4))</f>
        <v>100</v>
      </c>
      <c r="I258" s="136">
        <f>H258*F258/100</f>
        <v>15</v>
      </c>
      <c r="J258" s="131" t="s">
        <v>667</v>
      </c>
      <c r="K258" s="132"/>
      <c r="L258" s="132" t="s">
        <v>663</v>
      </c>
      <c r="M258" s="171" t="s">
        <v>590</v>
      </c>
      <c r="N258" s="134">
        <v>-5</v>
      </c>
      <c r="O258" s="134">
        <v>25</v>
      </c>
      <c r="P258" s="135">
        <f>(3*Mt___0+Int+Ges)/5</f>
        <v>75</v>
      </c>
      <c r="Q258" s="135">
        <f>IF(P258&lt;50,450-6*P258,IF(P258&lt;100,250-2*P258,75-P258/4))</f>
        <v>100</v>
      </c>
      <c r="R258" s="136">
        <f>Q258*O258/100</f>
        <v>25</v>
      </c>
      <c r="T258" s="131" t="s">
        <v>666</v>
      </c>
      <c r="U258" s="137"/>
      <c r="V258" s="138"/>
      <c r="W258" s="153"/>
      <c r="X258" s="140">
        <f>IF(W258&gt;0,INDEX(lerntab___0,W258,1),0)</f>
        <v>0</v>
      </c>
      <c r="Y258" s="141">
        <f>ROUND(X258*I258,0)</f>
        <v>0</v>
      </c>
      <c r="Z258" s="155"/>
      <c r="AA258" s="131" t="s">
        <v>667</v>
      </c>
      <c r="AB258" s="137"/>
      <c r="AC258" s="138"/>
      <c r="AD258" s="139"/>
      <c r="AE258" s="140">
        <f>IF(AD258&gt;0,INDEX(lerntab___0,AD258,1),0)</f>
        <v>0</v>
      </c>
      <c r="AF258" s="141">
        <f>ROUND(AE258*R258,0)</f>
        <v>0</v>
      </c>
      <c r="AG258" s="155"/>
      <c r="AI258" s="4"/>
      <c r="AN258" s="146">
        <f>IF(LEFT(C258,1)="A",Y258,0)</f>
        <v>0</v>
      </c>
      <c r="AO258" s="146">
        <f>IF(LEFT(C258,1)="K",Y258,0)</f>
        <v>0</v>
      </c>
      <c r="AP258" s="146">
        <f>IF(LEFT(C258,1)="M",Y258,0)</f>
        <v>0</v>
      </c>
      <c r="AQ258" s="146"/>
      <c r="AR258" s="146">
        <f>IF(LEFT(M258,1)="A",AF258,0)</f>
        <v>0</v>
      </c>
      <c r="AS258" s="146">
        <f>IF(LEFT(M258,1)="K",AF258,0)</f>
        <v>0</v>
      </c>
      <c r="AT258" s="146">
        <f>IF(LEFT(M258,1)="M",AF258,0)</f>
        <v>0</v>
      </c>
      <c r="IT258"/>
      <c r="IU258"/>
      <c r="IV258"/>
    </row>
    <row r="259" spans="1:256" s="2" customFormat="1" ht="9" customHeight="1">
      <c r="A259" s="131" t="s">
        <v>668</v>
      </c>
      <c r="B259" s="132"/>
      <c r="C259" s="132"/>
      <c r="D259" s="171" t="s">
        <v>590</v>
      </c>
      <c r="E259" s="134">
        <v>10</v>
      </c>
      <c r="F259" s="134">
        <v>20</v>
      </c>
      <c r="G259" s="135">
        <f>(3*Mt___0+Int+Kr___0)/5</f>
        <v>75</v>
      </c>
      <c r="H259" s="135">
        <f>IF(G259&lt;50,450-6*G259,IF(G259&lt;100,250-2*G259,75-G259/4))</f>
        <v>100</v>
      </c>
      <c r="I259" s="136">
        <f>H259*F259/100</f>
        <v>20</v>
      </c>
      <c r="J259" s="131" t="s">
        <v>669</v>
      </c>
      <c r="K259" s="132"/>
      <c r="L259" s="132" t="s">
        <v>663</v>
      </c>
      <c r="M259" s="171" t="s">
        <v>590</v>
      </c>
      <c r="N259" s="134">
        <v>-5</v>
      </c>
      <c r="O259" s="134">
        <v>50</v>
      </c>
      <c r="P259" s="135">
        <f>(3*Mt___0+Int+Ges)/5</f>
        <v>75</v>
      </c>
      <c r="Q259" s="135">
        <f>IF(P259&lt;50,450-6*P259,IF(P259&lt;100,250-2*P259,75-P259/4))</f>
        <v>100</v>
      </c>
      <c r="R259" s="136">
        <f>Q259*O259/100</f>
        <v>50</v>
      </c>
      <c r="T259" s="131" t="s">
        <v>668</v>
      </c>
      <c r="U259" s="137"/>
      <c r="V259" s="138"/>
      <c r="W259" s="153"/>
      <c r="X259" s="140">
        <f>IF(W259&gt;0,INDEX(lerntab___0,W259,1),0)</f>
        <v>0</v>
      </c>
      <c r="Y259" s="141">
        <f>ROUND(X259*I259,0)</f>
        <v>0</v>
      </c>
      <c r="Z259" s="155"/>
      <c r="AA259" s="131" t="s">
        <v>669</v>
      </c>
      <c r="AB259" s="137"/>
      <c r="AC259" s="138"/>
      <c r="AD259" s="139"/>
      <c r="AE259" s="140">
        <f>IF(AD259&gt;0,INDEX(lerntab___0,AD259,1),0)</f>
        <v>0</v>
      </c>
      <c r="AF259" s="141">
        <f>ROUND(AE259*R259,0)</f>
        <v>0</v>
      </c>
      <c r="AG259" s="155"/>
      <c r="AI259" s="4"/>
      <c r="AN259" s="146">
        <f>IF(LEFT(C259,1)="A",Y259,0)</f>
        <v>0</v>
      </c>
      <c r="AO259" s="146">
        <f>IF(LEFT(C259,1)="K",Y259,0)</f>
        <v>0</v>
      </c>
      <c r="AP259" s="146">
        <f>IF(LEFT(C259,1)="M",Y259,0)</f>
        <v>0</v>
      </c>
      <c r="AQ259" s="146"/>
      <c r="AR259" s="146">
        <f>IF(LEFT(M259,1)="A",AF259,0)</f>
        <v>0</v>
      </c>
      <c r="AS259" s="146">
        <f>IF(LEFT(M259,1)="K",AF259,0)</f>
        <v>0</v>
      </c>
      <c r="AT259" s="146">
        <f>IF(LEFT(M259,1)="M",AF259,0)</f>
        <v>0</v>
      </c>
      <c r="IT259"/>
      <c r="IU259"/>
      <c r="IV259"/>
    </row>
    <row r="260" spans="1:256" s="2" customFormat="1" ht="9" customHeight="1">
      <c r="A260" s="131" t="s">
        <v>670</v>
      </c>
      <c r="B260" s="132"/>
      <c r="C260" s="133"/>
      <c r="D260" s="171" t="s">
        <v>590</v>
      </c>
      <c r="E260" s="134">
        <v>30</v>
      </c>
      <c r="F260" s="134">
        <v>25</v>
      </c>
      <c r="G260" s="135">
        <f>(3*Mt___0+Int+Kr___0)/5</f>
        <v>75</v>
      </c>
      <c r="H260" s="135">
        <f>IF(G260&lt;50,450-6*G260,IF(G260&lt;100,250-2*G260,75-G260/4))</f>
        <v>100</v>
      </c>
      <c r="I260" s="136">
        <f>H260*F260/100</f>
        <v>25</v>
      </c>
      <c r="J260" s="131" t="s">
        <v>671</v>
      </c>
      <c r="K260" s="132"/>
      <c r="L260" s="132" t="s">
        <v>663</v>
      </c>
      <c r="M260" s="171" t="s">
        <v>590</v>
      </c>
      <c r="N260" s="134">
        <v>-5</v>
      </c>
      <c r="O260" s="134">
        <v>50</v>
      </c>
      <c r="P260" s="135">
        <f>(3*Mt___0+Int+Ges)/5</f>
        <v>75</v>
      </c>
      <c r="Q260" s="135">
        <f>IF(P260&lt;50,450-6*P260,IF(P260&lt;100,250-2*P260,75-P260/4))</f>
        <v>100</v>
      </c>
      <c r="R260" s="136">
        <f>Q260*O260/100</f>
        <v>50</v>
      </c>
      <c r="T260" s="131" t="s">
        <v>670</v>
      </c>
      <c r="U260" s="137"/>
      <c r="V260" s="138"/>
      <c r="W260" s="153"/>
      <c r="X260" s="140">
        <f>IF(W260&gt;0,INDEX(lerntab___0,W260,1),0)</f>
        <v>0</v>
      </c>
      <c r="Y260" s="141">
        <f>ROUND(X260*I260,0)</f>
        <v>0</v>
      </c>
      <c r="Z260" s="155"/>
      <c r="AA260" s="131" t="s">
        <v>671</v>
      </c>
      <c r="AB260" s="137"/>
      <c r="AC260" s="138"/>
      <c r="AD260" s="139"/>
      <c r="AE260" s="140">
        <f>IF(AD260&gt;0,INDEX(lerntab___0,AD260,1),0)</f>
        <v>0</v>
      </c>
      <c r="AF260" s="141">
        <f>ROUND(AE260*R260,0)</f>
        <v>0</v>
      </c>
      <c r="AG260" s="155"/>
      <c r="AI260" s="4"/>
      <c r="AN260" s="146">
        <f>IF(LEFT(C260,1)="A",Y260,0)</f>
        <v>0</v>
      </c>
      <c r="AO260" s="146">
        <f>IF(LEFT(C260,1)="K",Y260,0)</f>
        <v>0</v>
      </c>
      <c r="AP260" s="146">
        <f>IF(LEFT(C260,1)="M",Y260,0)</f>
        <v>0</v>
      </c>
      <c r="AQ260" s="146"/>
      <c r="AR260" s="146">
        <f>IF(LEFT(M260,1)="A",AF260,0)</f>
        <v>0</v>
      </c>
      <c r="AS260" s="146">
        <f>IF(LEFT(M260,1)="K",AF260,0)</f>
        <v>0</v>
      </c>
      <c r="AT260" s="146">
        <f>IF(LEFT(M260,1)="M",AF260,0)</f>
        <v>0</v>
      </c>
      <c r="IT260"/>
      <c r="IU260"/>
      <c r="IV260"/>
    </row>
    <row r="261" spans="1:256" s="2" customFormat="1" ht="9" customHeight="1">
      <c r="A261" s="131" t="s">
        <v>672</v>
      </c>
      <c r="B261" s="132"/>
      <c r="C261" s="133"/>
      <c r="D261" s="171" t="s">
        <v>590</v>
      </c>
      <c r="E261" s="134">
        <v>30</v>
      </c>
      <c r="F261" s="134">
        <v>30</v>
      </c>
      <c r="G261" s="135">
        <f>(3*Mt___0+Int+Kr___0)/5</f>
        <v>75</v>
      </c>
      <c r="H261" s="135">
        <f>IF(G261&lt;50,450-6*G261,IF(G261&lt;100,250-2*G261,75-G261/4))</f>
        <v>100</v>
      </c>
      <c r="I261" s="136">
        <f>H261*F261/100</f>
        <v>30</v>
      </c>
      <c r="J261" s="197" t="s">
        <v>673</v>
      </c>
      <c r="K261" s="182"/>
      <c r="L261" s="182"/>
      <c r="M261" s="212"/>
      <c r="N261" s="212"/>
      <c r="O261" s="212"/>
      <c r="P261" s="199"/>
      <c r="Q261" s="199"/>
      <c r="R261" s="130"/>
      <c r="T261" s="131" t="s">
        <v>672</v>
      </c>
      <c r="U261" s="137"/>
      <c r="V261" s="138"/>
      <c r="W261" s="153"/>
      <c r="X261" s="140">
        <f>IF(W261&gt;0,INDEX(lerntab___0,W261,1),0)</f>
        <v>0</v>
      </c>
      <c r="Y261" s="141">
        <f>ROUND(X261*I261,0)</f>
        <v>0</v>
      </c>
      <c r="Z261" s="155"/>
      <c r="AA261" s="197" t="s">
        <v>673</v>
      </c>
      <c r="AB261" s="137"/>
      <c r="AC261" s="211"/>
      <c r="AD261" s="212"/>
      <c r="AE261" s="182"/>
      <c r="AF261" s="183"/>
      <c r="AG261" s="155"/>
      <c r="AI261" s="4"/>
      <c r="AN261" s="146">
        <f>IF(LEFT(C261,1)="A",Y261,0)</f>
        <v>0</v>
      </c>
      <c r="AO261" s="146">
        <f>IF(LEFT(C261,1)="K",Y261,0)</f>
        <v>0</v>
      </c>
      <c r="AP261" s="146">
        <f>IF(LEFT(C261,1)="M",Y261,0)</f>
        <v>0</v>
      </c>
      <c r="AQ261" s="146"/>
      <c r="AR261" s="146">
        <f>IF(LEFT(M261,1)="A",AF261,0)</f>
        <v>0</v>
      </c>
      <c r="AS261" s="146">
        <f>IF(LEFT(M261,1)="K",AF261,0)</f>
        <v>0</v>
      </c>
      <c r="AT261" s="146">
        <f>IF(LEFT(M261,1)="M",AF261,0)</f>
        <v>0</v>
      </c>
      <c r="IT261"/>
      <c r="IU261"/>
      <c r="IV261"/>
    </row>
    <row r="262" spans="1:256" s="2" customFormat="1" ht="9" customHeight="1">
      <c r="A262" s="479" t="s">
        <v>674</v>
      </c>
      <c r="B262" s="132"/>
      <c r="C262" s="132"/>
      <c r="D262" s="168"/>
      <c r="E262" s="148"/>
      <c r="F262" s="314"/>
      <c r="G262" s="490"/>
      <c r="H262" s="490"/>
      <c r="I262" s="130"/>
      <c r="J262" s="172" t="s">
        <v>675</v>
      </c>
      <c r="K262" s="173"/>
      <c r="L262" s="568" t="s">
        <v>49</v>
      </c>
      <c r="M262" s="150" t="s">
        <v>515</v>
      </c>
      <c r="N262" s="150">
        <v>-5</v>
      </c>
      <c r="O262" s="150">
        <v>5</v>
      </c>
      <c r="P262" s="135">
        <f>(3*Mt___0+Int+Ges)/5</f>
        <v>75</v>
      </c>
      <c r="Q262" s="135">
        <f>IF(P262&lt;50,450-6*P262,IF(P262&lt;100,250-2*P262,75-P262/4))</f>
        <v>100</v>
      </c>
      <c r="R262" s="136">
        <f>Q262*O262/100</f>
        <v>5</v>
      </c>
      <c r="T262" s="479" t="s">
        <v>674</v>
      </c>
      <c r="U262" s="137"/>
      <c r="V262" s="211"/>
      <c r="W262" s="605"/>
      <c r="X262" s="182"/>
      <c r="Y262" s="183"/>
      <c r="Z262" s="155"/>
      <c r="AA262" s="172" t="s">
        <v>675</v>
      </c>
      <c r="AB262" s="137"/>
      <c r="AC262" s="568" t="s">
        <v>49</v>
      </c>
      <c r="AD262" s="139"/>
      <c r="AE262" s="140">
        <f>IF(AD262&gt;0,INDEX(lerntab___0,AD262,1),0)</f>
        <v>0</v>
      </c>
      <c r="AF262" s="141">
        <f>ROUND(AE262*R262,0)</f>
        <v>0</v>
      </c>
      <c r="AG262" s="155"/>
      <c r="AI262" s="4"/>
      <c r="AN262" s="146">
        <f>IF(LEFT(C262,1)="A",Y262,0)</f>
        <v>0</v>
      </c>
      <c r="AO262" s="146">
        <f>IF(LEFT(C262,1)="K",Y262,0)</f>
        <v>0</v>
      </c>
      <c r="AP262" s="146">
        <f>IF(LEFT(C262,1)="M",Y262,0)</f>
        <v>0</v>
      </c>
      <c r="AQ262" s="146"/>
      <c r="AR262" s="146">
        <f>IF(LEFT(M262,1)="A",AF262,0)</f>
        <v>0</v>
      </c>
      <c r="AS262" s="146">
        <f>IF(LEFT(M262,1)="K",AF262,0)</f>
        <v>0</v>
      </c>
      <c r="AT262" s="146">
        <f>IF(LEFT(M262,1)="M",AF262,0)</f>
        <v>0</v>
      </c>
      <c r="IT262"/>
      <c r="IU262"/>
      <c r="IV262"/>
    </row>
    <row r="263" spans="1:256" s="2" customFormat="1" ht="9" customHeight="1">
      <c r="A263" s="131" t="s">
        <v>661</v>
      </c>
      <c r="B263" s="132"/>
      <c r="C263" s="132"/>
      <c r="D263" s="171" t="s">
        <v>590</v>
      </c>
      <c r="E263" s="134">
        <v>10</v>
      </c>
      <c r="F263" s="150">
        <v>20</v>
      </c>
      <c r="G263" s="135">
        <f>(3*Mt___0+Int+Kr___0)/5</f>
        <v>75</v>
      </c>
      <c r="H263" s="135">
        <f>IF(G263&lt;50,450-6*G263,IF(G263&lt;100,250-2*G263,75-G263/4))</f>
        <v>100</v>
      </c>
      <c r="I263" s="136">
        <f>H263*F263/100</f>
        <v>20</v>
      </c>
      <c r="J263" s="577"/>
      <c r="K263" s="654"/>
      <c r="L263" s="568" t="s">
        <v>518</v>
      </c>
      <c r="M263" s="150" t="s">
        <v>676</v>
      </c>
      <c r="N263" s="150" t="s">
        <v>433</v>
      </c>
      <c r="O263" s="150">
        <v>10</v>
      </c>
      <c r="P263" s="135">
        <f>(3*Mt___0+Int+Ges)/5</f>
        <v>75</v>
      </c>
      <c r="Q263" s="135">
        <f>IF(P263&lt;50,450-6*P263,IF(P263&lt;100,250-2*P263,75-P263/4))</f>
        <v>100</v>
      </c>
      <c r="R263" s="136">
        <f>Q263*O263/100</f>
        <v>10</v>
      </c>
      <c r="T263" s="131" t="s">
        <v>661</v>
      </c>
      <c r="U263" s="137"/>
      <c r="V263" s="138"/>
      <c r="W263" s="153"/>
      <c r="X263" s="140">
        <f>IF(W263&gt;0,INDEX(lerntab___0,W263,1),0)</f>
        <v>0</v>
      </c>
      <c r="Y263" s="141">
        <f>ROUND(X263*I263,0)</f>
        <v>0</v>
      </c>
      <c r="Z263" s="155"/>
      <c r="AA263" s="577"/>
      <c r="AB263" s="137"/>
      <c r="AC263" s="568" t="s">
        <v>518</v>
      </c>
      <c r="AD263" s="139"/>
      <c r="AE263" s="140">
        <f>IF(AD263&gt;0,INDEX(lerntab___0,AD263,1),0)</f>
        <v>0</v>
      </c>
      <c r="AF263" s="141">
        <f>ROUND(AE263*R263,0)</f>
        <v>0</v>
      </c>
      <c r="AG263" s="155"/>
      <c r="AI263" s="4"/>
      <c r="AN263" s="146">
        <f>IF(LEFT(C263,1)="A",Y263,0)</f>
        <v>0</v>
      </c>
      <c r="AO263" s="146">
        <f>IF(LEFT(C263,1)="K",Y263,0)</f>
        <v>0</v>
      </c>
      <c r="AP263" s="146">
        <f>IF(LEFT(C263,1)="M",Y263,0)</f>
        <v>0</v>
      </c>
      <c r="AQ263" s="146"/>
      <c r="AR263" s="146">
        <f>IF(LEFT(M263,1)="A",AF263,0)</f>
        <v>0</v>
      </c>
      <c r="AS263" s="146">
        <f>IF(LEFT(M263,1)="K",AF263,0)</f>
        <v>0</v>
      </c>
      <c r="AT263" s="146">
        <f>IF(LEFT(M263,1)="M",AF263,0)</f>
        <v>0</v>
      </c>
      <c r="IT263"/>
      <c r="IU263"/>
      <c r="IV263"/>
    </row>
    <row r="264" spans="1:256" s="2" customFormat="1" ht="9" customHeight="1">
      <c r="A264" s="131" t="s">
        <v>664</v>
      </c>
      <c r="B264" s="132"/>
      <c r="C264" s="132"/>
      <c r="D264" s="171" t="s">
        <v>590</v>
      </c>
      <c r="E264" s="134">
        <v>-5</v>
      </c>
      <c r="F264" s="134">
        <v>40</v>
      </c>
      <c r="G264" s="135">
        <f>(3*Mt___0+Int+Kr___0)/5</f>
        <v>75</v>
      </c>
      <c r="H264" s="135">
        <f>IF(G264&lt;50,450-6*G264,IF(G264&lt;100,250-2*G264,75-G264/4))</f>
        <v>100</v>
      </c>
      <c r="I264" s="136">
        <f>H264*F264/100</f>
        <v>40</v>
      </c>
      <c r="J264" s="172" t="s">
        <v>677</v>
      </c>
      <c r="K264" s="173"/>
      <c r="L264" s="568" t="s">
        <v>49</v>
      </c>
      <c r="M264" s="150" t="s">
        <v>515</v>
      </c>
      <c r="N264" s="150">
        <f>N262</f>
        <v>-5</v>
      </c>
      <c r="O264" s="150">
        <v>25</v>
      </c>
      <c r="P264" s="135">
        <f>(3*Mt___0+Int+Ges)/5</f>
        <v>75</v>
      </c>
      <c r="Q264" s="135">
        <f>IF(P264&lt;50,450-6*P264,IF(P264&lt;100,250-2*P264,75-P264/4))</f>
        <v>100</v>
      </c>
      <c r="R264" s="136">
        <f>Q264*O264/100</f>
        <v>25</v>
      </c>
      <c r="T264" s="131" t="s">
        <v>664</v>
      </c>
      <c r="U264" s="137"/>
      <c r="V264" s="138"/>
      <c r="W264" s="153"/>
      <c r="X264" s="140">
        <f>IF(W264&gt;0,INDEX(lerntab___0,W264,1),0)</f>
        <v>0</v>
      </c>
      <c r="Y264" s="141">
        <f>ROUND(X264*I264,0)</f>
        <v>0</v>
      </c>
      <c r="Z264" s="155"/>
      <c r="AA264" s="172" t="s">
        <v>677</v>
      </c>
      <c r="AB264" s="137"/>
      <c r="AC264" s="568" t="s">
        <v>49</v>
      </c>
      <c r="AD264" s="139"/>
      <c r="AE264" s="140">
        <f>IF(AD264&gt;0,INDEX(lerntab___0,AD264,1),0)</f>
        <v>0</v>
      </c>
      <c r="AF264" s="141">
        <f>ROUND(AE264*R264,0)</f>
        <v>0</v>
      </c>
      <c r="AH264" s="155"/>
      <c r="AJ264" s="4"/>
      <c r="AN264" s="146">
        <f>IF(LEFT(C264,1)="A",Y264,0)</f>
        <v>0</v>
      </c>
      <c r="AO264" s="146">
        <f>IF(LEFT(C264,1)="K",Y264,0)</f>
        <v>0</v>
      </c>
      <c r="AP264" s="146">
        <f>IF(LEFT(C264,1)="M",Y264,0)</f>
        <v>0</v>
      </c>
      <c r="AQ264" s="146"/>
      <c r="AR264" s="146">
        <f>IF(LEFT(M264,1)="A",AF264,0)</f>
        <v>0</v>
      </c>
      <c r="AS264" s="146">
        <f>IF(LEFT(M264,1)="K",AF264,0)</f>
        <v>0</v>
      </c>
      <c r="AT264" s="146">
        <f>IF(LEFT(M264,1)="M",AF264,0)</f>
        <v>0</v>
      </c>
      <c r="IU264"/>
      <c r="IV264"/>
    </row>
    <row r="265" spans="1:256" s="2" customFormat="1" ht="9" customHeight="1">
      <c r="A265" s="131" t="s">
        <v>666</v>
      </c>
      <c r="B265" s="132"/>
      <c r="C265" s="133"/>
      <c r="D265" s="171" t="s">
        <v>590</v>
      </c>
      <c r="E265" s="134">
        <v>-5</v>
      </c>
      <c r="F265" s="134">
        <v>60</v>
      </c>
      <c r="G265" s="135">
        <f>(3*Mt___0+Int+Kr___0)/5</f>
        <v>75</v>
      </c>
      <c r="H265" s="135">
        <f>IF(G265&lt;50,450-6*G265,IF(G265&lt;100,250-2*G265,75-G265/4))</f>
        <v>100</v>
      </c>
      <c r="I265" s="136">
        <f>H265*F265/100</f>
        <v>60</v>
      </c>
      <c r="J265" s="577"/>
      <c r="K265" s="6"/>
      <c r="L265" s="568" t="s">
        <v>518</v>
      </c>
      <c r="M265" s="150" t="s">
        <v>676</v>
      </c>
      <c r="N265" s="150" t="s">
        <v>433</v>
      </c>
      <c r="O265" s="150">
        <v>20</v>
      </c>
      <c r="P265" s="135">
        <f>(3*Mt___0+Int+Ges)/5</f>
        <v>75</v>
      </c>
      <c r="Q265" s="135">
        <f>IF(P265&lt;50,450-6*P265,IF(P265&lt;100,250-2*P265,75-P265/4))</f>
        <v>100</v>
      </c>
      <c r="R265" s="136">
        <f>Q265*O265/100</f>
        <v>20</v>
      </c>
      <c r="T265" s="131" t="s">
        <v>666</v>
      </c>
      <c r="U265" s="137"/>
      <c r="V265" s="138"/>
      <c r="W265" s="153"/>
      <c r="X265" s="140">
        <f>IF(W265&gt;0,INDEX(lerntab___0,W265,1),0)</f>
        <v>0</v>
      </c>
      <c r="Y265" s="141">
        <f>ROUND(X265*I265,0)</f>
        <v>0</v>
      </c>
      <c r="Z265" s="155"/>
      <c r="AA265" s="577"/>
      <c r="AB265" s="137"/>
      <c r="AC265" s="568" t="s">
        <v>518</v>
      </c>
      <c r="AD265" s="139"/>
      <c r="AE265" s="140">
        <f>IF(AD265&gt;0,INDEX(lerntab___0,AD265,1),0)</f>
        <v>0</v>
      </c>
      <c r="AF265" s="141">
        <f>ROUND(AE265*R265,0)</f>
        <v>0</v>
      </c>
      <c r="AH265" s="155"/>
      <c r="AJ265" s="4"/>
      <c r="AN265" s="146">
        <f>IF(LEFT(C265,1)="A",Y265,0)</f>
        <v>0</v>
      </c>
      <c r="AO265" s="146">
        <f>IF(LEFT(C265,1)="K",Y265,0)</f>
        <v>0</v>
      </c>
      <c r="AP265" s="146">
        <f>IF(LEFT(C265,1)="M",Y265,0)</f>
        <v>0</v>
      </c>
      <c r="AQ265" s="146"/>
      <c r="AR265" s="146">
        <f>IF(LEFT(M265,1)="A",AF265,0)</f>
        <v>0</v>
      </c>
      <c r="AS265" s="146">
        <f>IF(LEFT(M265,1)="K",AF265,0)</f>
        <v>0</v>
      </c>
      <c r="AT265" s="146">
        <f>IF(LEFT(M265,1)="M",AF265,0)</f>
        <v>0</v>
      </c>
      <c r="IU265"/>
      <c r="IV265"/>
    </row>
    <row r="266" spans="1:256" s="2" customFormat="1" ht="9" customHeight="1">
      <c r="A266" s="131" t="s">
        <v>668</v>
      </c>
      <c r="B266" s="132"/>
      <c r="C266" s="132"/>
      <c r="D266" s="171" t="s">
        <v>590</v>
      </c>
      <c r="E266" s="134">
        <v>10</v>
      </c>
      <c r="F266" s="134">
        <v>80</v>
      </c>
      <c r="G266" s="135">
        <f>(3*Mt___0+Int+Kr___0)/5</f>
        <v>75</v>
      </c>
      <c r="H266" s="135">
        <f>IF(G266&lt;50,450-6*G266,IF(G266&lt;100,250-2*G266,75-G266/4))</f>
        <v>100</v>
      </c>
      <c r="I266" s="136">
        <f>H266*F266/100</f>
        <v>80</v>
      </c>
      <c r="J266" s="172" t="s">
        <v>678</v>
      </c>
      <c r="K266" s="173"/>
      <c r="L266" s="568" t="s">
        <v>49</v>
      </c>
      <c r="M266" s="150" t="s">
        <v>515</v>
      </c>
      <c r="N266" s="150">
        <f>N264</f>
        <v>-5</v>
      </c>
      <c r="O266" s="150">
        <v>50</v>
      </c>
      <c r="P266" s="135">
        <f>(3*Mt___0+Int+Ges)/5</f>
        <v>75</v>
      </c>
      <c r="Q266" s="135">
        <f>IF(P266&lt;50,450-6*P266,IF(P266&lt;100,250-2*P266,75-P266/4))</f>
        <v>100</v>
      </c>
      <c r="R266" s="136">
        <f>Q266*O266/100</f>
        <v>50</v>
      </c>
      <c r="T266" s="131" t="s">
        <v>668</v>
      </c>
      <c r="U266" s="137"/>
      <c r="V266" s="138"/>
      <c r="W266" s="153"/>
      <c r="X266" s="140">
        <f>IF(W266&gt;0,INDEX(lerntab___0,W266,1),0)</f>
        <v>0</v>
      </c>
      <c r="Y266" s="141">
        <f>ROUND(X266*I266,0)</f>
        <v>0</v>
      </c>
      <c r="Z266" s="155"/>
      <c r="AA266" s="172" t="s">
        <v>678</v>
      </c>
      <c r="AB266" s="137"/>
      <c r="AC266" s="568" t="s">
        <v>49</v>
      </c>
      <c r="AD266" s="139"/>
      <c r="AE266" s="140">
        <f>IF(AD266&gt;0,INDEX(lerntab___0,AD266,1),0)</f>
        <v>0</v>
      </c>
      <c r="AF266" s="141">
        <f>ROUND(AE266*R266,0)</f>
        <v>0</v>
      </c>
      <c r="AH266" s="155"/>
      <c r="AJ266" s="4"/>
      <c r="AN266" s="146">
        <f>IF(LEFT(C266,1)="A",Y266,0)</f>
        <v>0</v>
      </c>
      <c r="AO266" s="146">
        <f>IF(LEFT(C266,1)="K",Y266,0)</f>
        <v>0</v>
      </c>
      <c r="AP266" s="146">
        <f>IF(LEFT(C266,1)="M",Y266,0)</f>
        <v>0</v>
      </c>
      <c r="AQ266" s="146"/>
      <c r="AR266" s="146">
        <f>IF(LEFT(M266,1)="A",AF266,0)</f>
        <v>0</v>
      </c>
      <c r="AS266" s="146">
        <f>IF(LEFT(M266,1)="K",AF266,0)</f>
        <v>0</v>
      </c>
      <c r="AT266" s="146">
        <f>IF(LEFT(M266,1)="M",AF266,0)</f>
        <v>0</v>
      </c>
      <c r="IU266"/>
      <c r="IV266"/>
    </row>
    <row r="267" spans="1:256" s="2" customFormat="1" ht="9" customHeight="1">
      <c r="A267" s="131" t="s">
        <v>670</v>
      </c>
      <c r="B267" s="132"/>
      <c r="C267" s="133"/>
      <c r="D267" s="171" t="s">
        <v>590</v>
      </c>
      <c r="E267" s="134">
        <v>30</v>
      </c>
      <c r="F267" s="134">
        <v>100</v>
      </c>
      <c r="G267" s="135">
        <f>(3*Mt___0+Int+Kr___0)/5</f>
        <v>75</v>
      </c>
      <c r="H267" s="135">
        <f>IF(G267&lt;50,450-6*G267,IF(G267&lt;100,250-2*G267,75-G267/4))</f>
        <v>100</v>
      </c>
      <c r="I267" s="136">
        <f>H267*F267/100</f>
        <v>100</v>
      </c>
      <c r="J267" s="577"/>
      <c r="K267" s="6"/>
      <c r="L267" s="568" t="s">
        <v>518</v>
      </c>
      <c r="M267" s="150" t="s">
        <v>676</v>
      </c>
      <c r="N267" s="150" t="s">
        <v>433</v>
      </c>
      <c r="O267" s="150">
        <v>5</v>
      </c>
      <c r="P267" s="135">
        <f>(3*Mt___0+Int+Ges)/5</f>
        <v>75</v>
      </c>
      <c r="Q267" s="135">
        <f>IF(P267&lt;50,450-6*P267,IF(P267&lt;100,250-2*P267,75-P267/4))</f>
        <v>100</v>
      </c>
      <c r="R267" s="136">
        <f>Q267*O267/100</f>
        <v>5</v>
      </c>
      <c r="T267" s="131" t="s">
        <v>670</v>
      </c>
      <c r="U267" s="137"/>
      <c r="V267" s="138"/>
      <c r="W267" s="153"/>
      <c r="X267" s="140">
        <f>IF(W267&gt;0,INDEX(lerntab___0,W267,1),0)</f>
        <v>0</v>
      </c>
      <c r="Y267" s="141">
        <f>ROUND(X267*I267,0)</f>
        <v>0</v>
      </c>
      <c r="Z267" s="155"/>
      <c r="AA267" s="577"/>
      <c r="AB267" s="137"/>
      <c r="AC267" s="568" t="s">
        <v>518</v>
      </c>
      <c r="AD267" s="139"/>
      <c r="AE267" s="140">
        <f>IF(AD267&gt;0,INDEX(lerntab___0,AD267,1),0)</f>
        <v>0</v>
      </c>
      <c r="AF267" s="141">
        <f>ROUND(AE267*R267,0)</f>
        <v>0</v>
      </c>
      <c r="AH267" s="155"/>
      <c r="AJ267" s="4"/>
      <c r="AN267" s="146">
        <f>IF(LEFT(C267,1)="A",Y267,0)</f>
        <v>0</v>
      </c>
      <c r="AO267" s="146">
        <f>IF(LEFT(C267,1)="K",Y267,0)</f>
        <v>0</v>
      </c>
      <c r="AP267" s="146">
        <f>IF(LEFT(C267,1)="M",Y267,0)</f>
        <v>0</v>
      </c>
      <c r="AQ267" s="146"/>
      <c r="AR267" s="146">
        <f>IF(LEFT(M267,1)="A",AF267,0)</f>
        <v>0</v>
      </c>
      <c r="AS267" s="146">
        <f>IF(LEFT(M267,1)="K",AF267,0)</f>
        <v>0</v>
      </c>
      <c r="AT267" s="146">
        <f>IF(LEFT(M267,1)="M",AF267,0)</f>
        <v>0</v>
      </c>
      <c r="IU267"/>
      <c r="IV267"/>
    </row>
    <row r="268" spans="1:256" s="2" customFormat="1" ht="9" customHeight="1">
      <c r="A268" s="131" t="s">
        <v>672</v>
      </c>
      <c r="B268" s="132"/>
      <c r="C268" s="133"/>
      <c r="D268" s="171" t="s">
        <v>590</v>
      </c>
      <c r="E268" s="134">
        <v>30</v>
      </c>
      <c r="F268" s="134">
        <v>120</v>
      </c>
      <c r="G268" s="135">
        <f>(3*Mt___0+Int+Kr___0)/5</f>
        <v>75</v>
      </c>
      <c r="H268" s="135">
        <f>IF(G268&lt;50,450-6*G268,IF(G268&lt;100,250-2*G268,75-G268/4))</f>
        <v>100</v>
      </c>
      <c r="I268" s="136">
        <f>H268*F268/100</f>
        <v>120</v>
      </c>
      <c r="J268" s="172" t="s">
        <v>679</v>
      </c>
      <c r="K268" s="173"/>
      <c r="L268" s="568" t="s">
        <v>49</v>
      </c>
      <c r="M268" s="150" t="s">
        <v>515</v>
      </c>
      <c r="N268" s="150">
        <f>N266</f>
        <v>-5</v>
      </c>
      <c r="O268" s="150">
        <v>20</v>
      </c>
      <c r="P268" s="135">
        <f>(3*Mt___0+Int+Ges)/5</f>
        <v>75</v>
      </c>
      <c r="Q268" s="135">
        <f>IF(P268&lt;50,450-6*P268,IF(P268&lt;100,250-2*P268,75-P268/4))</f>
        <v>100</v>
      </c>
      <c r="R268" s="136">
        <f>Q268*O268/100</f>
        <v>20</v>
      </c>
      <c r="T268" s="131" t="s">
        <v>672</v>
      </c>
      <c r="U268" s="137"/>
      <c r="V268" s="138"/>
      <c r="W268" s="153"/>
      <c r="X268" s="140">
        <f>IF(W268&gt;0,INDEX(lerntab___0,W268,1),0)</f>
        <v>0</v>
      </c>
      <c r="Y268" s="141">
        <f>ROUND(X268*I268,0)</f>
        <v>0</v>
      </c>
      <c r="Z268" s="155"/>
      <c r="AA268" s="172" t="s">
        <v>679</v>
      </c>
      <c r="AB268" s="137"/>
      <c r="AC268" s="568" t="s">
        <v>49</v>
      </c>
      <c r="AD268" s="139"/>
      <c r="AE268" s="140">
        <f>IF(AD268&gt;0,INDEX(lerntab___0,AD268,1),0)</f>
        <v>0</v>
      </c>
      <c r="AF268" s="141">
        <f>ROUND(AE268*R268,0)</f>
        <v>0</v>
      </c>
      <c r="AH268" s="155"/>
      <c r="AJ268" s="4"/>
      <c r="AN268" s="146">
        <f>IF(LEFT(C268,1)="A",Y268,0)</f>
        <v>0</v>
      </c>
      <c r="AO268" s="146">
        <f>IF(LEFT(C268,1)="K",Y268,0)</f>
        <v>0</v>
      </c>
      <c r="AP268" s="146">
        <f>IF(LEFT(C268,1)="M",Y268,0)</f>
        <v>0</v>
      </c>
      <c r="AQ268" s="146"/>
      <c r="AR268" s="146">
        <f>IF(LEFT(M268,1)="A",AF268,0)</f>
        <v>0</v>
      </c>
      <c r="AS268" s="146">
        <f>IF(LEFT(M268,1)="K",AF268,0)</f>
        <v>0</v>
      </c>
      <c r="AT268" s="146">
        <f>IF(LEFT(M268,1)="M",AF268,0)</f>
        <v>0</v>
      </c>
      <c r="IU268"/>
      <c r="IV268"/>
    </row>
    <row r="269" spans="1:256" s="2" customFormat="1" ht="9" customHeight="1">
      <c r="A269" s="479" t="s">
        <v>680</v>
      </c>
      <c r="B269" s="132"/>
      <c r="C269" s="132"/>
      <c r="D269" s="168"/>
      <c r="E269" s="148"/>
      <c r="F269" s="314"/>
      <c r="G269" s="490"/>
      <c r="H269" s="490"/>
      <c r="I269" s="130"/>
      <c r="J269" s="577"/>
      <c r="K269" s="6"/>
      <c r="L269" s="568" t="s">
        <v>518</v>
      </c>
      <c r="M269" s="150" t="s">
        <v>676</v>
      </c>
      <c r="N269" s="150" t="s">
        <v>433</v>
      </c>
      <c r="O269" s="150">
        <v>40</v>
      </c>
      <c r="P269" s="135">
        <f>(3*Mt___0+Int+Ges)/5</f>
        <v>75</v>
      </c>
      <c r="Q269" s="135">
        <f>IF(P269&lt;50,450-6*P269,IF(P269&lt;100,250-2*P269,75-P269/4))</f>
        <v>100</v>
      </c>
      <c r="R269" s="136">
        <f>Q269*O269/100</f>
        <v>40</v>
      </c>
      <c r="T269" s="479" t="s">
        <v>680</v>
      </c>
      <c r="U269" s="137"/>
      <c r="V269" s="211"/>
      <c r="W269" s="605"/>
      <c r="X269" s="182"/>
      <c r="Y269" s="183"/>
      <c r="Z269" s="155"/>
      <c r="AA269" s="577"/>
      <c r="AB269" s="137"/>
      <c r="AC269" s="568" t="s">
        <v>518</v>
      </c>
      <c r="AD269" s="139"/>
      <c r="AE269" s="140">
        <f>IF(AD269&gt;0,INDEX(lerntab___0,AD269,1),0)</f>
        <v>0</v>
      </c>
      <c r="AF269" s="141">
        <f>ROUND(AE269*R269,0)</f>
        <v>0</v>
      </c>
      <c r="AH269" s="155"/>
      <c r="AJ269" s="4"/>
      <c r="AN269" s="146">
        <f>IF(LEFT(C269,1)="A",Y269,0)</f>
        <v>0</v>
      </c>
      <c r="AO269" s="146">
        <f>IF(LEFT(C269,1)="K",Y269,0)</f>
        <v>0</v>
      </c>
      <c r="AP269" s="146">
        <f>IF(LEFT(C269,1)="M",Y269,0)</f>
        <v>0</v>
      </c>
      <c r="AQ269" s="146"/>
      <c r="AR269" s="146">
        <f>IF(LEFT(M269,1)="A",AF269,0)</f>
        <v>0</v>
      </c>
      <c r="AS269" s="146">
        <f>IF(LEFT(M269,1)="K",AF269,0)</f>
        <v>0</v>
      </c>
      <c r="AT269" s="146">
        <f>IF(LEFT(M269,1)="M",AF269,0)</f>
        <v>0</v>
      </c>
      <c r="IU269"/>
      <c r="IV269"/>
    </row>
    <row r="270" spans="1:256" s="2" customFormat="1" ht="9" customHeight="1">
      <c r="A270" s="131" t="s">
        <v>661</v>
      </c>
      <c r="B270" s="132"/>
      <c r="C270" s="132"/>
      <c r="D270" s="171" t="s">
        <v>590</v>
      </c>
      <c r="E270" s="134">
        <v>10</v>
      </c>
      <c r="F270" s="150">
        <v>10</v>
      </c>
      <c r="G270" s="135">
        <f>(3*Mt___0+Int+Kr___0)/5</f>
        <v>75</v>
      </c>
      <c r="H270" s="135">
        <f>IF(G270&lt;50,450-6*G270,IF(G270&lt;100,250-2*G270,75-G270/4))</f>
        <v>100</v>
      </c>
      <c r="I270" s="136">
        <f>H270*F270/100</f>
        <v>10</v>
      </c>
      <c r="J270" s="172" t="s">
        <v>681</v>
      </c>
      <c r="K270" s="173"/>
      <c r="L270" s="568" t="s">
        <v>49</v>
      </c>
      <c r="M270" s="150" t="s">
        <v>515</v>
      </c>
      <c r="N270" s="150">
        <f>N268</f>
        <v>-5</v>
      </c>
      <c r="O270" s="150">
        <v>25</v>
      </c>
      <c r="P270" s="135">
        <f>(3*Mt___0+Int+Ges)/5</f>
        <v>75</v>
      </c>
      <c r="Q270" s="135">
        <f>IF(P270&lt;50,450-6*P270,IF(P270&lt;100,250-2*P270,75-P270/4))</f>
        <v>100</v>
      </c>
      <c r="R270" s="136">
        <f>Q270*O270/100</f>
        <v>25</v>
      </c>
      <c r="T270" s="131" t="s">
        <v>661</v>
      </c>
      <c r="U270" s="137"/>
      <c r="V270" s="138"/>
      <c r="W270" s="153"/>
      <c r="X270" s="140">
        <f>IF(W270&gt;0,INDEX(lerntab___0,W270,1),0)</f>
        <v>0</v>
      </c>
      <c r="Y270" s="141">
        <f>ROUND(X270*I270,0)</f>
        <v>0</v>
      </c>
      <c r="Z270" s="155"/>
      <c r="AA270" s="172" t="s">
        <v>681</v>
      </c>
      <c r="AB270" s="137"/>
      <c r="AC270" s="568" t="s">
        <v>49</v>
      </c>
      <c r="AD270" s="139"/>
      <c r="AE270" s="140">
        <f>IF(AD270&gt;0,INDEX(lerntab___0,AD270,1),0)</f>
        <v>0</v>
      </c>
      <c r="AF270" s="141">
        <f>ROUND(AE270*R270,0)</f>
        <v>0</v>
      </c>
      <c r="AH270" s="155"/>
      <c r="AJ270" s="4"/>
      <c r="AN270" s="146">
        <f>IF(LEFT(C270,1)="A",Y270,0)</f>
        <v>0</v>
      </c>
      <c r="AO270" s="146">
        <f>IF(LEFT(C270,1)="K",Y270,0)</f>
        <v>0</v>
      </c>
      <c r="AP270" s="146">
        <f>IF(LEFT(C270,1)="M",Y270,0)</f>
        <v>0</v>
      </c>
      <c r="AQ270" s="146"/>
      <c r="AR270" s="146">
        <f>IF(LEFT(M270,1)="A",AF270,0)</f>
        <v>0</v>
      </c>
      <c r="AS270" s="146">
        <f>IF(LEFT(M270,1)="K",AF270,0)</f>
        <v>0</v>
      </c>
      <c r="AT270" s="146">
        <f>IF(LEFT(M270,1)="M",AF270,0)</f>
        <v>0</v>
      </c>
      <c r="IU270"/>
      <c r="IV270"/>
    </row>
    <row r="271" spans="1:256" s="2" customFormat="1" ht="9" customHeight="1">
      <c r="A271" s="131" t="s">
        <v>664</v>
      </c>
      <c r="B271" s="132"/>
      <c r="C271" s="132"/>
      <c r="D271" s="171" t="s">
        <v>590</v>
      </c>
      <c r="E271" s="134">
        <v>-5</v>
      </c>
      <c r="F271" s="134">
        <v>20</v>
      </c>
      <c r="G271" s="135">
        <f>(3*Mt___0+Int+Kr___0)/5</f>
        <v>75</v>
      </c>
      <c r="H271" s="135">
        <f>IF(G271&lt;50,450-6*G271,IF(G271&lt;100,250-2*G271,75-G271/4))</f>
        <v>100</v>
      </c>
      <c r="I271" s="136">
        <f>H271*F271/100</f>
        <v>20</v>
      </c>
      <c r="J271" s="577"/>
      <c r="K271" s="6"/>
      <c r="L271" s="568" t="s">
        <v>518</v>
      </c>
      <c r="M271" s="150" t="s">
        <v>676</v>
      </c>
      <c r="N271" s="150" t="s">
        <v>433</v>
      </c>
      <c r="O271" s="150">
        <v>50</v>
      </c>
      <c r="P271" s="135">
        <f>(3*Mt___0+Int+Ges)/5</f>
        <v>75</v>
      </c>
      <c r="Q271" s="135">
        <f>IF(P271&lt;50,450-6*P271,IF(P271&lt;100,250-2*P271,75-P271/4))</f>
        <v>100</v>
      </c>
      <c r="R271" s="136">
        <f>Q271*O271/100</f>
        <v>50</v>
      </c>
      <c r="T271" s="131" t="s">
        <v>664</v>
      </c>
      <c r="U271" s="137"/>
      <c r="V271" s="138"/>
      <c r="W271" s="153"/>
      <c r="X271" s="140">
        <f>IF(W271&gt;0,INDEX(lerntab___0,W271,1),0)</f>
        <v>0</v>
      </c>
      <c r="Y271" s="141">
        <f>ROUND(X271*I271,0)</f>
        <v>0</v>
      </c>
      <c r="Z271" s="155"/>
      <c r="AA271" s="577"/>
      <c r="AB271" s="137"/>
      <c r="AC271" s="568" t="s">
        <v>518</v>
      </c>
      <c r="AD271" s="139"/>
      <c r="AE271" s="140">
        <f>IF(AD271&gt;0,INDEX(lerntab___0,AD271,1),0)</f>
        <v>0</v>
      </c>
      <c r="AF271" s="141">
        <f>ROUND(AE271*R271,0)</f>
        <v>0</v>
      </c>
      <c r="AH271" s="155"/>
      <c r="AJ271" s="4"/>
      <c r="AN271" s="146">
        <f>IF(LEFT(C271,1)="A",Y271,0)</f>
        <v>0</v>
      </c>
      <c r="AO271" s="146">
        <f>IF(LEFT(C271,1)="K",Y271,0)</f>
        <v>0</v>
      </c>
      <c r="AP271" s="146">
        <f>IF(LEFT(C271,1)="M",Y271,0)</f>
        <v>0</v>
      </c>
      <c r="AQ271" s="146"/>
      <c r="AR271" s="146">
        <f>IF(LEFT(M271,1)="A",AF271,0)</f>
        <v>0</v>
      </c>
      <c r="AS271" s="146">
        <f>IF(LEFT(M271,1)="K",AF271,0)</f>
        <v>0</v>
      </c>
      <c r="AT271" s="146">
        <f>IF(LEFT(M271,1)="M",AF271,0)</f>
        <v>0</v>
      </c>
      <c r="IU271"/>
      <c r="IV271"/>
    </row>
    <row r="272" spans="1:256" s="2" customFormat="1" ht="9" customHeight="1">
      <c r="A272" s="131" t="s">
        <v>666</v>
      </c>
      <c r="B272" s="132"/>
      <c r="C272" s="133"/>
      <c r="D272" s="171" t="s">
        <v>590</v>
      </c>
      <c r="E272" s="134">
        <v>-5</v>
      </c>
      <c r="F272" s="134">
        <v>30</v>
      </c>
      <c r="G272" s="135">
        <f>(3*Mt___0+Int+Kr___0)/5</f>
        <v>75</v>
      </c>
      <c r="H272" s="135">
        <f>IF(G272&lt;50,450-6*G272,IF(G272&lt;100,250-2*G272,75-G272/4))</f>
        <v>100</v>
      </c>
      <c r="I272" s="136">
        <f>H272*F272/100</f>
        <v>30</v>
      </c>
      <c r="J272" s="197" t="s">
        <v>682</v>
      </c>
      <c r="K272" s="182"/>
      <c r="L272" s="182"/>
      <c r="M272" s="212"/>
      <c r="N272" s="212"/>
      <c r="O272" s="212"/>
      <c r="P272" s="199"/>
      <c r="Q272" s="199"/>
      <c r="R272" s="130"/>
      <c r="T272" s="131" t="s">
        <v>666</v>
      </c>
      <c r="U272" s="137"/>
      <c r="V272" s="138"/>
      <c r="W272" s="153"/>
      <c r="X272" s="140">
        <f>IF(W272&gt;0,INDEX(lerntab___0,W272,1),0)</f>
        <v>0</v>
      </c>
      <c r="Y272" s="141">
        <f>ROUND(X272*I272,0)</f>
        <v>0</v>
      </c>
      <c r="Z272" s="155"/>
      <c r="AA272" s="197" t="s">
        <v>682</v>
      </c>
      <c r="AB272" s="137"/>
      <c r="AC272" s="211"/>
      <c r="AD272" s="212"/>
      <c r="AE272" s="182"/>
      <c r="AF272" s="183"/>
      <c r="AH272" s="155"/>
      <c r="AJ272" s="4"/>
      <c r="AN272" s="146">
        <f>IF(LEFT(C272,1)="A",Y272,0)</f>
        <v>0</v>
      </c>
      <c r="AO272" s="146">
        <f>IF(LEFT(C272,1)="K",Y272,0)</f>
        <v>0</v>
      </c>
      <c r="AP272" s="146">
        <f>IF(LEFT(C272,1)="M",Y272,0)</f>
        <v>0</v>
      </c>
      <c r="AQ272" s="146"/>
      <c r="AR272" s="146">
        <f>IF(LEFT(M272,1)="A",AF272,0)</f>
        <v>0</v>
      </c>
      <c r="AS272" s="146">
        <f>IF(LEFT(M272,1)="K",AF272,0)</f>
        <v>0</v>
      </c>
      <c r="AT272" s="146">
        <f>IF(LEFT(M272,1)="M",AF272,0)</f>
        <v>0</v>
      </c>
      <c r="IU272"/>
      <c r="IV272"/>
    </row>
    <row r="273" spans="1:256" s="2" customFormat="1" ht="9" customHeight="1">
      <c r="A273" s="131" t="s">
        <v>668</v>
      </c>
      <c r="B273" s="132"/>
      <c r="C273" s="132"/>
      <c r="D273" s="171" t="s">
        <v>590</v>
      </c>
      <c r="E273" s="134">
        <v>10</v>
      </c>
      <c r="F273" s="134">
        <v>40</v>
      </c>
      <c r="G273" s="135">
        <f>(3*Mt___0+Int+Kr___0)/5</f>
        <v>75</v>
      </c>
      <c r="H273" s="135">
        <f>IF(G273&lt;50,450-6*G273,IF(G273&lt;100,250-2*G273,75-G273/4))</f>
        <v>100</v>
      </c>
      <c r="I273" s="136">
        <f>H273*F273/100</f>
        <v>40</v>
      </c>
      <c r="J273" s="131" t="s">
        <v>683</v>
      </c>
      <c r="K273" s="132"/>
      <c r="L273" s="132"/>
      <c r="M273" s="171" t="s">
        <v>590</v>
      </c>
      <c r="N273" s="134">
        <v>-5</v>
      </c>
      <c r="O273" s="150">
        <v>5</v>
      </c>
      <c r="P273" s="135">
        <f>(3*Mt___0+Int+Ges)/5</f>
        <v>75</v>
      </c>
      <c r="Q273" s="135">
        <f>IF(P273&lt;50,450-6*P273,IF(P273&lt;100,250-2*P273,75-P273/4))</f>
        <v>100</v>
      </c>
      <c r="R273" s="569">
        <f>Q273*O273/100</f>
        <v>5</v>
      </c>
      <c r="T273" s="131" t="s">
        <v>668</v>
      </c>
      <c r="U273" s="137"/>
      <c r="V273" s="138"/>
      <c r="W273" s="153"/>
      <c r="X273" s="140">
        <f>IF(W273&gt;0,INDEX(lerntab___0,W273,1),0)</f>
        <v>0</v>
      </c>
      <c r="Y273" s="141">
        <f>ROUND(X273*I273,0)</f>
        <v>0</v>
      </c>
      <c r="Z273" s="155"/>
      <c r="AA273" s="131" t="s">
        <v>683</v>
      </c>
      <c r="AB273" s="137"/>
      <c r="AC273" s="138"/>
      <c r="AD273" s="139"/>
      <c r="AE273" s="140">
        <f>IF(AD273&gt;0,INDEX(lerntab___0,AD273,1),0)</f>
        <v>0</v>
      </c>
      <c r="AF273" s="141">
        <f>ROUND(AE273*R273,0)</f>
        <v>0</v>
      </c>
      <c r="AH273" s="155"/>
      <c r="AJ273" s="4"/>
      <c r="AN273" s="146">
        <f>IF(LEFT(C273,1)="A",Y273,0)</f>
        <v>0</v>
      </c>
      <c r="AO273" s="146">
        <f>IF(LEFT(C273,1)="K",Y273,0)</f>
        <v>0</v>
      </c>
      <c r="AP273" s="146">
        <f>IF(LEFT(C273,1)="M",Y273,0)</f>
        <v>0</v>
      </c>
      <c r="AQ273" s="146"/>
      <c r="AR273" s="146">
        <f>IF(LEFT(M273,1)="A",AF273,0)</f>
        <v>0</v>
      </c>
      <c r="AS273" s="146">
        <f>IF(LEFT(M273,1)="K",AF273,0)</f>
        <v>0</v>
      </c>
      <c r="AT273" s="146">
        <f>IF(LEFT(M273,1)="M",AF273,0)</f>
        <v>0</v>
      </c>
      <c r="IU273"/>
      <c r="IV273"/>
    </row>
    <row r="274" spans="1:256" s="2" customFormat="1" ht="9" customHeight="1">
      <c r="A274" s="131" t="s">
        <v>670</v>
      </c>
      <c r="B274" s="132"/>
      <c r="C274" s="133"/>
      <c r="D274" s="171" t="s">
        <v>590</v>
      </c>
      <c r="E274" s="134">
        <v>30</v>
      </c>
      <c r="F274" s="134">
        <v>50</v>
      </c>
      <c r="G274" s="135">
        <f>(3*Mt___0+Int+Kr___0)/5</f>
        <v>75</v>
      </c>
      <c r="H274" s="135">
        <f>IF(G274&lt;50,450-6*G274,IF(G274&lt;100,250-2*G274,75-G274/4))</f>
        <v>100</v>
      </c>
      <c r="I274" s="136">
        <f>H274*F274/100</f>
        <v>50</v>
      </c>
      <c r="J274" s="131" t="s">
        <v>684</v>
      </c>
      <c r="K274" s="132"/>
      <c r="L274" s="132"/>
      <c r="M274" s="171" t="s">
        <v>590</v>
      </c>
      <c r="N274" s="134">
        <v>-5</v>
      </c>
      <c r="O274" s="150">
        <v>10</v>
      </c>
      <c r="P274" s="135">
        <f>(3*Mt___0+Int+Ges)/5</f>
        <v>75</v>
      </c>
      <c r="Q274" s="135">
        <f>IF(P274&lt;50,450-6*P274,IF(P274&lt;100,250-2*P274,75-P274/4))</f>
        <v>100</v>
      </c>
      <c r="R274" s="569">
        <f>Q274*O274/100</f>
        <v>10</v>
      </c>
      <c r="T274" s="131" t="s">
        <v>670</v>
      </c>
      <c r="U274" s="137"/>
      <c r="V274" s="138"/>
      <c r="W274" s="153"/>
      <c r="X274" s="140">
        <f>IF(W274&gt;0,INDEX(lerntab___0,W274,1),0)</f>
        <v>0</v>
      </c>
      <c r="Y274" s="141">
        <f>ROUND(X274*I274,0)</f>
        <v>0</v>
      </c>
      <c r="Z274" s="155"/>
      <c r="AA274" s="131" t="s">
        <v>684</v>
      </c>
      <c r="AB274" s="137"/>
      <c r="AC274" s="138"/>
      <c r="AD274" s="139"/>
      <c r="AE274" s="140">
        <f>IF(AD274&gt;0,INDEX(lerntab___0,AD274,1),0)</f>
        <v>0</v>
      </c>
      <c r="AF274" s="141">
        <f>ROUND(AE274*R274,0)</f>
        <v>0</v>
      </c>
      <c r="AH274" s="155"/>
      <c r="AJ274" s="4"/>
      <c r="AN274" s="146">
        <f>IF(LEFT(C274,1)="A",Y274,0)</f>
        <v>0</v>
      </c>
      <c r="AO274" s="146">
        <f>IF(LEFT(C274,1)="K",Y274,0)</f>
        <v>0</v>
      </c>
      <c r="AP274" s="146">
        <f>IF(LEFT(C274,1)="M",Y274,0)</f>
        <v>0</v>
      </c>
      <c r="AQ274" s="146"/>
      <c r="AR274" s="146">
        <f>IF(LEFT(M274,1)="A",AF274,0)</f>
        <v>0</v>
      </c>
      <c r="AS274" s="146">
        <f>IF(LEFT(M274,1)="K",AF274,0)</f>
        <v>0</v>
      </c>
      <c r="AT274" s="146">
        <f>IF(LEFT(M274,1)="M",AF274,0)</f>
        <v>0</v>
      </c>
      <c r="IU274"/>
      <c r="IV274"/>
    </row>
    <row r="275" spans="1:256" s="2" customFormat="1" ht="9" customHeight="1">
      <c r="A275" s="131" t="s">
        <v>672</v>
      </c>
      <c r="B275" s="132"/>
      <c r="C275" s="133"/>
      <c r="D275" s="171" t="s">
        <v>590</v>
      </c>
      <c r="E275" s="134">
        <v>30</v>
      </c>
      <c r="F275" s="134">
        <v>60</v>
      </c>
      <c r="G275" s="135">
        <f>(3*Mt___0+Int+Kr___0)/5</f>
        <v>75</v>
      </c>
      <c r="H275" s="135">
        <f>IF(G275&lt;50,450-6*G275,IF(G275&lt;100,250-2*G275,75-G275/4))</f>
        <v>100</v>
      </c>
      <c r="I275" s="136">
        <f>H275*F275/100</f>
        <v>60</v>
      </c>
      <c r="J275" s="131" t="s">
        <v>685</v>
      </c>
      <c r="K275" s="132"/>
      <c r="L275" s="132"/>
      <c r="M275" s="171" t="s">
        <v>590</v>
      </c>
      <c r="N275" s="134">
        <v>-5</v>
      </c>
      <c r="O275" s="134">
        <v>15</v>
      </c>
      <c r="P275" s="135">
        <f>(3*Mt___0+Int+Ges)/5</f>
        <v>75</v>
      </c>
      <c r="Q275" s="135">
        <f>IF(P275&lt;50,450-6*P275,IF(P275&lt;100,250-2*P275,75-P275/4))</f>
        <v>100</v>
      </c>
      <c r="R275" s="136">
        <f>Q275*O275/100</f>
        <v>15</v>
      </c>
      <c r="T275" s="131" t="s">
        <v>672</v>
      </c>
      <c r="U275" s="137"/>
      <c r="V275" s="138"/>
      <c r="W275" s="153"/>
      <c r="X275" s="140">
        <f>IF(W275&gt;0,INDEX(lerntab___0,W275,1),0)</f>
        <v>0</v>
      </c>
      <c r="Y275" s="141">
        <f>ROUND(X275*I275,0)</f>
        <v>0</v>
      </c>
      <c r="Z275" s="155"/>
      <c r="AA275" s="131" t="s">
        <v>685</v>
      </c>
      <c r="AB275" s="137"/>
      <c r="AC275" s="138"/>
      <c r="AD275" s="139"/>
      <c r="AE275" s="140">
        <f>IF(AD275&gt;0,INDEX(lerntab___0,AD275,1),0)</f>
        <v>0</v>
      </c>
      <c r="AF275" s="141">
        <f>ROUND(AE275*R275,0)</f>
        <v>0</v>
      </c>
      <c r="AH275" s="155"/>
      <c r="AJ275" s="4"/>
      <c r="AN275" s="146">
        <f>IF(LEFT(C275,1)="A",Y275,0)</f>
        <v>0</v>
      </c>
      <c r="AO275" s="146">
        <f>IF(LEFT(C275,1)="K",Y275,0)</f>
        <v>0</v>
      </c>
      <c r="AP275" s="146">
        <f>IF(LEFT(C275,1)="M",Y275,0)</f>
        <v>0</v>
      </c>
      <c r="AQ275" s="146"/>
      <c r="AR275" s="146">
        <f>IF(LEFT(M275,1)="A",AF275,0)</f>
        <v>0</v>
      </c>
      <c r="AS275" s="146">
        <f>IF(LEFT(M275,1)="K",AF275,0)</f>
        <v>0</v>
      </c>
      <c r="AT275" s="146">
        <f>IF(LEFT(M275,1)="M",AF275,0)</f>
        <v>0</v>
      </c>
      <c r="IU275"/>
      <c r="IV275"/>
    </row>
    <row r="276" spans="1:256" s="2" customFormat="1" ht="9" customHeight="1">
      <c r="A276" s="479" t="s">
        <v>686</v>
      </c>
      <c r="B276" s="132"/>
      <c r="C276" s="132"/>
      <c r="D276" s="168"/>
      <c r="E276" s="148"/>
      <c r="F276" s="314"/>
      <c r="G276" s="490"/>
      <c r="H276" s="490"/>
      <c r="I276" s="130"/>
      <c r="J276" s="131" t="s">
        <v>687</v>
      </c>
      <c r="K276" s="132"/>
      <c r="L276" s="132"/>
      <c r="M276" s="171" t="s">
        <v>590</v>
      </c>
      <c r="N276" s="134">
        <v>-5</v>
      </c>
      <c r="O276" s="134">
        <v>20</v>
      </c>
      <c r="P276" s="135">
        <f>(3*Mt___0+Int+Ges)/5</f>
        <v>75</v>
      </c>
      <c r="Q276" s="135">
        <f>IF(P276&lt;50,450-6*P276,IF(P276&lt;100,250-2*P276,75-P276/4))</f>
        <v>100</v>
      </c>
      <c r="R276" s="136">
        <f>Q276*O276/100</f>
        <v>20</v>
      </c>
      <c r="T276" s="479" t="s">
        <v>686</v>
      </c>
      <c r="U276" s="137"/>
      <c r="V276" s="211"/>
      <c r="W276" s="605"/>
      <c r="X276" s="182"/>
      <c r="Y276" s="183"/>
      <c r="Z276" s="155"/>
      <c r="AA276" s="131" t="s">
        <v>687</v>
      </c>
      <c r="AB276" s="137"/>
      <c r="AC276" s="138"/>
      <c r="AD276" s="139"/>
      <c r="AE276" s="140">
        <f>IF(AD276&gt;0,INDEX(lerntab___0,AD276,1),0)</f>
        <v>0</v>
      </c>
      <c r="AF276" s="141">
        <f>ROUND(AE276*R276,0)</f>
        <v>0</v>
      </c>
      <c r="AH276" s="155"/>
      <c r="AJ276" s="4"/>
      <c r="AN276" s="146">
        <f>IF(LEFT(C276,1)="A",Y276,0)</f>
        <v>0</v>
      </c>
      <c r="AO276" s="146">
        <f>IF(LEFT(C276,1)="K",Y276,0)</f>
        <v>0</v>
      </c>
      <c r="AP276" s="146">
        <f>IF(LEFT(C276,1)="M",Y276,0)</f>
        <v>0</v>
      </c>
      <c r="AQ276" s="146"/>
      <c r="AR276" s="146">
        <f>IF(LEFT(M276,1)="A",AF276,0)</f>
        <v>0</v>
      </c>
      <c r="AS276" s="146">
        <f>IF(LEFT(M276,1)="K",AF276,0)</f>
        <v>0</v>
      </c>
      <c r="AT276" s="146">
        <f>IF(LEFT(M276,1)="M",AF276,0)</f>
        <v>0</v>
      </c>
      <c r="IU276"/>
      <c r="IV276"/>
    </row>
    <row r="277" spans="1:256" s="2" customFormat="1" ht="9" customHeight="1">
      <c r="A277" s="131" t="s">
        <v>661</v>
      </c>
      <c r="B277" s="132"/>
      <c r="C277" s="132"/>
      <c r="D277" s="171" t="s">
        <v>590</v>
      </c>
      <c r="E277" s="134">
        <v>10</v>
      </c>
      <c r="F277" s="150">
        <v>10</v>
      </c>
      <c r="G277" s="135">
        <f>(3*Mt___0+Int+Kr___0)/5</f>
        <v>75</v>
      </c>
      <c r="H277" s="135">
        <f>IF(G277&lt;50,450-6*G277,IF(G277&lt;100,250-2*G277,75-G277/4))</f>
        <v>100</v>
      </c>
      <c r="I277" s="136">
        <f>H277*F277/100</f>
        <v>10</v>
      </c>
      <c r="J277" s="131" t="s">
        <v>688</v>
      </c>
      <c r="K277" s="132"/>
      <c r="L277" s="132"/>
      <c r="M277" s="171" t="s">
        <v>590</v>
      </c>
      <c r="N277" s="134">
        <v>-5</v>
      </c>
      <c r="O277" s="134">
        <v>25</v>
      </c>
      <c r="P277" s="135">
        <f>(3*Mt___0+Int+Ges)/5</f>
        <v>75</v>
      </c>
      <c r="Q277" s="135">
        <f>IF(P277&lt;50,450-6*P277,IF(P277&lt;100,250-2*P277,75-P277/4))</f>
        <v>100</v>
      </c>
      <c r="R277" s="136">
        <f>Q277*O277/100</f>
        <v>25</v>
      </c>
      <c r="T277" s="131" t="s">
        <v>661</v>
      </c>
      <c r="U277" s="137"/>
      <c r="V277" s="138"/>
      <c r="W277" s="153"/>
      <c r="X277" s="140">
        <f>IF(W277&gt;0,INDEX(lerntab___0,W277,1),0)</f>
        <v>0</v>
      </c>
      <c r="Y277" s="141">
        <f>ROUND(X277*I277,0)</f>
        <v>0</v>
      </c>
      <c r="Z277" s="155"/>
      <c r="AA277" s="131" t="s">
        <v>688</v>
      </c>
      <c r="AB277" s="137"/>
      <c r="AC277" s="138"/>
      <c r="AD277" s="139"/>
      <c r="AE277" s="140">
        <f>IF(AD277&gt;0,INDEX(lerntab___0,AD277,1),0)</f>
        <v>0</v>
      </c>
      <c r="AF277" s="141">
        <f>ROUND(AE277*R277,0)</f>
        <v>0</v>
      </c>
      <c r="AH277" s="155"/>
      <c r="AJ277" s="4"/>
      <c r="AN277" s="146">
        <f>IF(LEFT(C277,1)="A",Y277,0)</f>
        <v>0</v>
      </c>
      <c r="AO277" s="146">
        <f>IF(LEFT(C277,1)="K",Y277,0)</f>
        <v>0</v>
      </c>
      <c r="AP277" s="146">
        <f>IF(LEFT(C277,1)="M",Y277,0)</f>
        <v>0</v>
      </c>
      <c r="AQ277" s="146"/>
      <c r="AR277" s="146">
        <f>IF(LEFT(M277,1)="A",AF277,0)</f>
        <v>0</v>
      </c>
      <c r="AS277" s="146">
        <f>IF(LEFT(M277,1)="K",AF277,0)</f>
        <v>0</v>
      </c>
      <c r="AT277" s="146">
        <f>IF(LEFT(M277,1)="M",AF277,0)</f>
        <v>0</v>
      </c>
      <c r="IU277"/>
      <c r="IV277"/>
    </row>
    <row r="278" spans="1:256" s="2" customFormat="1" ht="9" customHeight="1">
      <c r="A278" s="131" t="s">
        <v>664</v>
      </c>
      <c r="B278" s="132"/>
      <c r="C278" s="132"/>
      <c r="D278" s="171" t="s">
        <v>590</v>
      </c>
      <c r="E278" s="134">
        <v>-5</v>
      </c>
      <c r="F278" s="134">
        <v>20</v>
      </c>
      <c r="G278" s="135">
        <f>(3*Mt___0+Int+Kr___0)/5</f>
        <v>75</v>
      </c>
      <c r="H278" s="135">
        <f>IF(G278&lt;50,450-6*G278,IF(G278&lt;100,250-2*G278,75-G278/4))</f>
        <v>100</v>
      </c>
      <c r="I278" s="136">
        <f>H278*F278/100</f>
        <v>20</v>
      </c>
      <c r="J278" s="131" t="s">
        <v>689</v>
      </c>
      <c r="K278" s="132"/>
      <c r="L278" s="132"/>
      <c r="M278" s="171" t="s">
        <v>590</v>
      </c>
      <c r="N278" s="134">
        <v>-5</v>
      </c>
      <c r="O278" s="150">
        <v>30</v>
      </c>
      <c r="P278" s="135">
        <f>(3*Mt___0+Int+Ges)/5</f>
        <v>75</v>
      </c>
      <c r="Q278" s="135">
        <f>IF(P278&lt;50,450-6*P278,IF(P278&lt;100,250-2*P278,75-P278/4))</f>
        <v>100</v>
      </c>
      <c r="R278" s="569">
        <f>Q278*O278/100</f>
        <v>30</v>
      </c>
      <c r="T278" s="131" t="s">
        <v>664</v>
      </c>
      <c r="U278" s="137"/>
      <c r="V278" s="138"/>
      <c r="W278" s="153"/>
      <c r="X278" s="140">
        <f>IF(W278&gt;0,INDEX(lerntab___0,W278,1),0)</f>
        <v>0</v>
      </c>
      <c r="Y278" s="141">
        <f>ROUND(X278*I278,0)</f>
        <v>0</v>
      </c>
      <c r="Z278" s="155"/>
      <c r="AA278" s="131" t="s">
        <v>689</v>
      </c>
      <c r="AB278" s="137"/>
      <c r="AC278" s="138"/>
      <c r="AD278" s="139"/>
      <c r="AE278" s="140">
        <f>IF(AD278&gt;0,INDEX(lerntab___0,AD278,1),0)</f>
        <v>0</v>
      </c>
      <c r="AF278" s="141">
        <f>ROUND(AE278*R278,0)</f>
        <v>0</v>
      </c>
      <c r="AH278" s="155"/>
      <c r="AJ278" s="4"/>
      <c r="AN278" s="146">
        <f>IF(LEFT(C278,1)="A",Y278,0)</f>
        <v>0</v>
      </c>
      <c r="AO278" s="146">
        <f>IF(LEFT(C278,1)="K",Y278,0)</f>
        <v>0</v>
      </c>
      <c r="AP278" s="146">
        <f>IF(LEFT(C278,1)="M",Y278,0)</f>
        <v>0</v>
      </c>
      <c r="AQ278" s="146"/>
      <c r="AR278" s="146">
        <f>IF(LEFT(M278,1)="A",AF278,0)</f>
        <v>0</v>
      </c>
      <c r="AS278" s="146">
        <f>IF(LEFT(M278,1)="K",AF278,0)</f>
        <v>0</v>
      </c>
      <c r="AT278" s="146">
        <f>IF(LEFT(M278,1)="M",AF278,0)</f>
        <v>0</v>
      </c>
      <c r="IU278"/>
      <c r="IV278"/>
    </row>
    <row r="279" spans="1:256" s="2" customFormat="1" ht="9" customHeight="1">
      <c r="A279" s="131" t="s">
        <v>666</v>
      </c>
      <c r="B279" s="132"/>
      <c r="C279" s="133"/>
      <c r="D279" s="171" t="s">
        <v>590</v>
      </c>
      <c r="E279" s="134">
        <v>-5</v>
      </c>
      <c r="F279" s="134">
        <v>30</v>
      </c>
      <c r="G279" s="135">
        <f>(3*Mt___0+Int+Kr___0)/5</f>
        <v>75</v>
      </c>
      <c r="H279" s="135">
        <f>IF(G279&lt;50,450-6*G279,IF(G279&lt;100,250-2*G279,75-G279/4))</f>
        <v>100</v>
      </c>
      <c r="I279" s="136">
        <f>H279*F279/100</f>
        <v>30</v>
      </c>
      <c r="J279" s="131" t="s">
        <v>690</v>
      </c>
      <c r="K279" s="132"/>
      <c r="L279" s="132"/>
      <c r="M279" s="171" t="s">
        <v>590</v>
      </c>
      <c r="N279" s="134">
        <v>-5</v>
      </c>
      <c r="O279" s="150">
        <v>35</v>
      </c>
      <c r="P279" s="135">
        <f>(3*Mt___0+Int+Ges)/5</f>
        <v>75</v>
      </c>
      <c r="Q279" s="135">
        <f>IF(P279&lt;50,450-6*P279,IF(P279&lt;100,250-2*P279,75-P279/4))</f>
        <v>100</v>
      </c>
      <c r="R279" s="569">
        <f>Q279*O279/100</f>
        <v>35</v>
      </c>
      <c r="T279" s="131" t="s">
        <v>666</v>
      </c>
      <c r="U279" s="137"/>
      <c r="V279" s="138"/>
      <c r="W279" s="153"/>
      <c r="X279" s="140">
        <f>IF(W279&gt;0,INDEX(lerntab___0,W279,1),0)</f>
        <v>0</v>
      </c>
      <c r="Y279" s="141">
        <f>ROUND(X279*I279,0)</f>
        <v>0</v>
      </c>
      <c r="Z279" s="155"/>
      <c r="AA279" s="131" t="s">
        <v>690</v>
      </c>
      <c r="AB279" s="137"/>
      <c r="AC279" s="138"/>
      <c r="AD279" s="139"/>
      <c r="AE279" s="140">
        <f>IF(AD279&gt;0,INDEX(lerntab___0,AD279,1),0)</f>
        <v>0</v>
      </c>
      <c r="AF279" s="141">
        <f>ROUND(AE279*R279,0)</f>
        <v>0</v>
      </c>
      <c r="AH279" s="155"/>
      <c r="AJ279" s="4"/>
      <c r="AN279" s="146">
        <f>IF(LEFT(C279,1)="A",Y279,0)</f>
        <v>0</v>
      </c>
      <c r="AO279" s="146">
        <f>IF(LEFT(C279,1)="K",Y279,0)</f>
        <v>0</v>
      </c>
      <c r="AP279" s="146">
        <f>IF(LEFT(C279,1)="M",Y279,0)</f>
        <v>0</v>
      </c>
      <c r="AQ279" s="146"/>
      <c r="AR279" s="146">
        <f>IF(LEFT(M279,1)="A",AF279,0)</f>
        <v>0</v>
      </c>
      <c r="AS279" s="146">
        <f>IF(LEFT(M279,1)="K",AF279,0)</f>
        <v>0</v>
      </c>
      <c r="AT279" s="146">
        <f>IF(LEFT(M279,1)="M",AF279,0)</f>
        <v>0</v>
      </c>
      <c r="IU279"/>
      <c r="IV279"/>
    </row>
    <row r="280" spans="1:256" s="2" customFormat="1" ht="9" customHeight="1">
      <c r="A280" s="131" t="s">
        <v>668</v>
      </c>
      <c r="B280" s="132"/>
      <c r="C280" s="132"/>
      <c r="D280" s="171" t="s">
        <v>590</v>
      </c>
      <c r="E280" s="134">
        <v>10</v>
      </c>
      <c r="F280" s="134">
        <v>40</v>
      </c>
      <c r="G280" s="135">
        <f>(3*Mt___0+Int+Kr___0)/5</f>
        <v>75</v>
      </c>
      <c r="H280" s="135">
        <f>IF(G280&lt;50,450-6*G280,IF(G280&lt;100,250-2*G280,75-G280/4))</f>
        <v>100</v>
      </c>
      <c r="I280" s="136">
        <f>H280*F280/100</f>
        <v>40</v>
      </c>
      <c r="J280" s="131" t="s">
        <v>691</v>
      </c>
      <c r="K280" s="132"/>
      <c r="L280" s="132"/>
      <c r="M280" s="171" t="s">
        <v>590</v>
      </c>
      <c r="N280" s="134">
        <v>-5</v>
      </c>
      <c r="O280" s="150">
        <v>40</v>
      </c>
      <c r="P280" s="135">
        <f>(3*Mt___0+Int+Ges)/5</f>
        <v>75</v>
      </c>
      <c r="Q280" s="135">
        <f>IF(P280&lt;50,450-6*P280,IF(P280&lt;100,250-2*P280,75-P280/4))</f>
        <v>100</v>
      </c>
      <c r="R280" s="569">
        <f>Q280*O280/100</f>
        <v>40</v>
      </c>
      <c r="T280" s="131" t="s">
        <v>668</v>
      </c>
      <c r="U280" s="137"/>
      <c r="V280" s="138"/>
      <c r="W280" s="153"/>
      <c r="X280" s="140">
        <f>IF(W280&gt;0,INDEX(lerntab___0,W280,1),0)</f>
        <v>0</v>
      </c>
      <c r="Y280" s="141">
        <f>ROUND(X280*I280,0)</f>
        <v>0</v>
      </c>
      <c r="Z280" s="155"/>
      <c r="AA280" s="131" t="s">
        <v>691</v>
      </c>
      <c r="AB280" s="137"/>
      <c r="AC280" s="138"/>
      <c r="AD280" s="139"/>
      <c r="AE280" s="140">
        <f>IF(AD280&gt;0,INDEX(lerntab___0,AD280,1),0)</f>
        <v>0</v>
      </c>
      <c r="AF280" s="141">
        <f>ROUND(AE280*R280,0)</f>
        <v>0</v>
      </c>
      <c r="AH280" s="155"/>
      <c r="AJ280" s="4"/>
      <c r="AN280" s="146">
        <f>IF(LEFT(C280,1)="A",Y280,0)</f>
        <v>0</v>
      </c>
      <c r="AO280" s="146">
        <f>IF(LEFT(C280,1)="K",Y280,0)</f>
        <v>0</v>
      </c>
      <c r="AP280" s="146">
        <f>IF(LEFT(C280,1)="M",Y280,0)</f>
        <v>0</v>
      </c>
      <c r="AQ280" s="146"/>
      <c r="AR280" s="146">
        <f>IF(LEFT(M280,1)="A",AF280,0)</f>
        <v>0</v>
      </c>
      <c r="AS280" s="146">
        <f>IF(LEFT(M280,1)="K",AF280,0)</f>
        <v>0</v>
      </c>
      <c r="AT280" s="146">
        <f>IF(LEFT(M280,1)="M",AF280,0)</f>
        <v>0</v>
      </c>
      <c r="IU280"/>
      <c r="IV280"/>
    </row>
    <row r="281" spans="1:256" s="2" customFormat="1" ht="9" customHeight="1">
      <c r="A281" s="131" t="s">
        <v>670</v>
      </c>
      <c r="B281" s="132"/>
      <c r="C281" s="133"/>
      <c r="D281" s="171" t="s">
        <v>590</v>
      </c>
      <c r="E281" s="134">
        <v>30</v>
      </c>
      <c r="F281" s="134">
        <v>50</v>
      </c>
      <c r="G281" s="135">
        <f>(3*Mt___0+Int+Kr___0)/5</f>
        <v>75</v>
      </c>
      <c r="H281" s="135">
        <f>IF(G281&lt;50,450-6*G281,IF(G281&lt;100,250-2*G281,75-G281/4))</f>
        <v>100</v>
      </c>
      <c r="I281" s="136">
        <f>H281*F281/100</f>
        <v>50</v>
      </c>
      <c r="J281" s="131" t="s">
        <v>692</v>
      </c>
      <c r="K281" s="132"/>
      <c r="L281" s="132"/>
      <c r="M281" s="171" t="s">
        <v>590</v>
      </c>
      <c r="N281" s="134">
        <v>-5</v>
      </c>
      <c r="O281" s="150">
        <v>45</v>
      </c>
      <c r="P281" s="135">
        <f>(3*Mt___0+Int+Ges)/5</f>
        <v>75</v>
      </c>
      <c r="Q281" s="135">
        <f>IF(P281&lt;50,450-6*P281,IF(P281&lt;100,250-2*P281,75-P281/4))</f>
        <v>100</v>
      </c>
      <c r="R281" s="569">
        <f>Q281*O281/100</f>
        <v>45</v>
      </c>
      <c r="T281" s="131" t="s">
        <v>670</v>
      </c>
      <c r="U281" s="137"/>
      <c r="V281" s="138"/>
      <c r="W281" s="153"/>
      <c r="X281" s="140">
        <f>IF(W281&gt;0,INDEX(lerntab___0,W281,1),0)</f>
        <v>0</v>
      </c>
      <c r="Y281" s="141">
        <f>ROUND(X281*I281,0)</f>
        <v>0</v>
      </c>
      <c r="Z281" s="155"/>
      <c r="AA281" s="131" t="s">
        <v>692</v>
      </c>
      <c r="AB281" s="137"/>
      <c r="AC281" s="138"/>
      <c r="AD281" s="139"/>
      <c r="AE281" s="140">
        <f>IF(AD281&gt;0,INDEX(lerntab___0,AD281,1),0)</f>
        <v>0</v>
      </c>
      <c r="AF281" s="141">
        <f>ROUND(AE281*R281,0)</f>
        <v>0</v>
      </c>
      <c r="AH281" s="155"/>
      <c r="AJ281" s="4"/>
      <c r="AN281" s="146">
        <f>IF(LEFT(C281,1)="A",Y281,0)</f>
        <v>0</v>
      </c>
      <c r="AO281" s="146">
        <f>IF(LEFT(C281,1)="K",Y281,0)</f>
        <v>0</v>
      </c>
      <c r="AP281" s="146">
        <f>IF(LEFT(C281,1)="M",Y281,0)</f>
        <v>0</v>
      </c>
      <c r="AQ281" s="146"/>
      <c r="AR281" s="146">
        <f>IF(LEFT(M281,1)="A",AF281,0)</f>
        <v>0</v>
      </c>
      <c r="AS281" s="146">
        <f>IF(LEFT(M281,1)="K",AF281,0)</f>
        <v>0</v>
      </c>
      <c r="AT281" s="146">
        <f>IF(LEFT(M281,1)="M",AF281,0)</f>
        <v>0</v>
      </c>
      <c r="IU281"/>
      <c r="IV281"/>
    </row>
    <row r="282" spans="1:256" s="2" customFormat="1" ht="9" customHeight="1">
      <c r="A282" s="131" t="s">
        <v>672</v>
      </c>
      <c r="B282" s="132"/>
      <c r="C282" s="133"/>
      <c r="D282" s="171" t="s">
        <v>590</v>
      </c>
      <c r="E282" s="134">
        <v>30</v>
      </c>
      <c r="F282" s="134">
        <v>60</v>
      </c>
      <c r="G282" s="135">
        <f>(3*Mt___0+Int+Kr___0)/5</f>
        <v>75</v>
      </c>
      <c r="H282" s="135">
        <f>IF(G282&lt;50,450-6*G282,IF(G282&lt;100,250-2*G282,75-G282/4))</f>
        <v>100</v>
      </c>
      <c r="I282" s="136">
        <f>H282*F282/100</f>
        <v>60</v>
      </c>
      <c r="J282" s="131" t="s">
        <v>693</v>
      </c>
      <c r="K282" s="132"/>
      <c r="L282" s="132"/>
      <c r="M282" s="171" t="s">
        <v>590</v>
      </c>
      <c r="N282" s="134">
        <v>-5</v>
      </c>
      <c r="O282" s="150">
        <v>50</v>
      </c>
      <c r="P282" s="135">
        <f>(3*Mt___0+Int+Ges)/5</f>
        <v>75</v>
      </c>
      <c r="Q282" s="135">
        <f>IF(P282&lt;50,450-6*P282,IF(P282&lt;100,250-2*P282,75-P282/4))</f>
        <v>100</v>
      </c>
      <c r="R282" s="569">
        <f>Q282*O282/100</f>
        <v>50</v>
      </c>
      <c r="T282" s="131" t="s">
        <v>672</v>
      </c>
      <c r="U282" s="137"/>
      <c r="V282" s="138"/>
      <c r="W282" s="153"/>
      <c r="X282" s="140">
        <f>IF(W282&gt;0,INDEX(lerntab___0,W282,1),0)</f>
        <v>0</v>
      </c>
      <c r="Y282" s="141">
        <f>ROUND(X282*I282,0)</f>
        <v>0</v>
      </c>
      <c r="Z282" s="155"/>
      <c r="AA282" s="131" t="s">
        <v>693</v>
      </c>
      <c r="AB282" s="137"/>
      <c r="AC282" s="138"/>
      <c r="AD282" s="139"/>
      <c r="AE282" s="140">
        <f>IF(AD282&gt;0,INDEX(lerntab___0,AD282,1),0)</f>
        <v>0</v>
      </c>
      <c r="AF282" s="141">
        <f>ROUND(AE282*R282,0)</f>
        <v>0</v>
      </c>
      <c r="AH282" s="155"/>
      <c r="AJ282" s="4"/>
      <c r="AN282" s="146">
        <f>IF(LEFT(C282,1)="A",Y282,0)</f>
        <v>0</v>
      </c>
      <c r="AO282" s="146">
        <f>IF(LEFT(C282,1)="K",Y282,0)</f>
        <v>0</v>
      </c>
      <c r="AP282" s="146">
        <f>IF(LEFT(C282,1)="M",Y282,0)</f>
        <v>0</v>
      </c>
      <c r="AQ282" s="146"/>
      <c r="AR282" s="146">
        <f>IF(LEFT(M282,1)="A",AF282,0)</f>
        <v>0</v>
      </c>
      <c r="AS282" s="146">
        <f>IF(LEFT(M282,1)="K",AF282,0)</f>
        <v>0</v>
      </c>
      <c r="AT282" s="146">
        <f>IF(LEFT(M282,1)="M",AF282,0)</f>
        <v>0</v>
      </c>
      <c r="IU282"/>
      <c r="IV282"/>
    </row>
    <row r="283" spans="1:256" s="2" customFormat="1" ht="9" customHeight="1">
      <c r="A283" s="479" t="s">
        <v>694</v>
      </c>
      <c r="B283" s="132"/>
      <c r="C283" s="132"/>
      <c r="D283" s="168"/>
      <c r="E283" s="148"/>
      <c r="F283" s="314"/>
      <c r="G283" s="490"/>
      <c r="H283" s="490"/>
      <c r="I283" s="130"/>
      <c r="J283" s="653" t="s">
        <v>695</v>
      </c>
      <c r="K283" s="655"/>
      <c r="L283" s="655"/>
      <c r="M283" s="656"/>
      <c r="N283" s="657"/>
      <c r="O283" s="658"/>
      <c r="P283" s="659"/>
      <c r="Q283" s="659"/>
      <c r="R283" s="660"/>
      <c r="T283" s="479" t="s">
        <v>694</v>
      </c>
      <c r="U283" s="137"/>
      <c r="V283" s="211"/>
      <c r="W283" s="605"/>
      <c r="X283" s="182"/>
      <c r="Y283" s="183"/>
      <c r="Z283" s="155"/>
      <c r="AA283" s="661" t="s">
        <v>695</v>
      </c>
      <c r="AB283" s="137"/>
      <c r="AC283" s="211"/>
      <c r="AD283" s="212"/>
      <c r="AE283" s="182"/>
      <c r="AF283" s="183"/>
      <c r="AH283" s="155"/>
      <c r="AJ283" s="4"/>
      <c r="AN283" s="146">
        <f>IF(LEFT(C283,1)="A",Y283,0)</f>
        <v>0</v>
      </c>
      <c r="AO283" s="146">
        <f>IF(LEFT(C283,1)="K",Y283,0)</f>
        <v>0</v>
      </c>
      <c r="AP283" s="146">
        <f>IF(LEFT(C283,1)="M",Y283,0)</f>
        <v>0</v>
      </c>
      <c r="AQ283" s="146"/>
      <c r="AR283" s="146">
        <f>IF(LEFT(M283,1)="A",AF283,0)</f>
        <v>0</v>
      </c>
      <c r="AS283" s="146">
        <f>IF(LEFT(M283,1)="K",AF283,0)</f>
        <v>0</v>
      </c>
      <c r="AT283" s="146">
        <f>IF(LEFT(M283,1)="M",AF283,0)</f>
        <v>0</v>
      </c>
      <c r="IU283"/>
      <c r="IV283"/>
    </row>
    <row r="284" spans="1:256" s="2" customFormat="1" ht="9" customHeight="1">
      <c r="A284" s="131" t="s">
        <v>661</v>
      </c>
      <c r="B284" s="132"/>
      <c r="C284" s="132"/>
      <c r="D284" s="171" t="s">
        <v>590</v>
      </c>
      <c r="E284" s="134">
        <v>10</v>
      </c>
      <c r="F284" s="150">
        <v>20</v>
      </c>
      <c r="G284" s="135">
        <f>(3*Mt___0+Int+Kr___0)/5</f>
        <v>75</v>
      </c>
      <c r="H284" s="135">
        <f>IF(G284&lt;50,450-6*G284,IF(G284&lt;100,250-2*G284,75-G284/4))</f>
        <v>100</v>
      </c>
      <c r="I284" s="136">
        <f>H284*F284/100</f>
        <v>20</v>
      </c>
      <c r="J284" s="197" t="s">
        <v>696</v>
      </c>
      <c r="K284" s="182"/>
      <c r="L284" s="182"/>
      <c r="M284" s="212"/>
      <c r="N284" s="212"/>
      <c r="O284" s="212"/>
      <c r="P284" s="199"/>
      <c r="Q284" s="199"/>
      <c r="R284" s="130"/>
      <c r="T284" s="131" t="s">
        <v>661</v>
      </c>
      <c r="U284" s="137"/>
      <c r="V284" s="138"/>
      <c r="W284" s="153"/>
      <c r="X284" s="140">
        <f>IF(W284&gt;0,INDEX(lerntab___0,W284,1),0)</f>
        <v>0</v>
      </c>
      <c r="Y284" s="141">
        <f>ROUND(X284*I284,0)</f>
        <v>0</v>
      </c>
      <c r="Z284" s="155"/>
      <c r="AA284" s="662" t="s">
        <v>696</v>
      </c>
      <c r="AB284" s="137"/>
      <c r="AC284" s="211"/>
      <c r="AD284" s="212"/>
      <c r="AE284" s="182"/>
      <c r="AF284" s="183"/>
      <c r="AH284" s="155"/>
      <c r="AJ284" s="4"/>
      <c r="AN284" s="146">
        <f>IF(LEFT(C284,1)="A",Y284,0)</f>
        <v>0</v>
      </c>
      <c r="AO284" s="146">
        <f>IF(LEFT(C284,1)="K",Y284,0)</f>
        <v>0</v>
      </c>
      <c r="AP284" s="146">
        <f>IF(LEFT(C284,1)="M",Y284,0)</f>
        <v>0</v>
      </c>
      <c r="AQ284" s="146"/>
      <c r="AR284" s="146">
        <f>IF(LEFT(M284,1)="A",AF284,0)</f>
        <v>0</v>
      </c>
      <c r="AS284" s="146">
        <f>IF(LEFT(M284,1)="K",AF284,0)</f>
        <v>0</v>
      </c>
      <c r="AT284" s="146">
        <f>IF(LEFT(M284,1)="M",AF284,0)</f>
        <v>0</v>
      </c>
      <c r="IU284"/>
      <c r="IV284"/>
    </row>
    <row r="285" spans="1:256" s="2" customFormat="1" ht="9" customHeight="1">
      <c r="A285" s="131" t="s">
        <v>664</v>
      </c>
      <c r="B285" s="132"/>
      <c r="C285" s="132"/>
      <c r="D285" s="171" t="s">
        <v>590</v>
      </c>
      <c r="E285" s="134">
        <v>-5</v>
      </c>
      <c r="F285" s="134">
        <v>40</v>
      </c>
      <c r="G285" s="135">
        <f>(3*Mt___0+Int+Kr___0)/5</f>
        <v>75</v>
      </c>
      <c r="H285" s="135">
        <f>IF(G285&lt;50,450-6*G285,IF(G285&lt;100,250-2*G285,75-G285/4))</f>
        <v>100</v>
      </c>
      <c r="I285" s="136">
        <f>H285*F285/100</f>
        <v>40</v>
      </c>
      <c r="J285" s="131" t="s">
        <v>697</v>
      </c>
      <c r="K285" s="132"/>
      <c r="L285" s="132" t="s">
        <v>663</v>
      </c>
      <c r="M285" s="171" t="s">
        <v>590</v>
      </c>
      <c r="N285" s="150">
        <v>30</v>
      </c>
      <c r="O285" s="150">
        <v>25</v>
      </c>
      <c r="P285" s="135">
        <f>(3*Mt___0+Int+Schn___0)/5</f>
        <v>75</v>
      </c>
      <c r="Q285" s="135">
        <f>IF(P285&lt;50,450-6*P285,IF(P285&lt;100,250-2*P285,75-P285/4))</f>
        <v>100</v>
      </c>
      <c r="R285" s="569">
        <f>Q285*O285/100</f>
        <v>25</v>
      </c>
      <c r="T285" s="131" t="s">
        <v>664</v>
      </c>
      <c r="U285" s="137"/>
      <c r="V285" s="138"/>
      <c r="W285" s="153"/>
      <c r="X285" s="140">
        <f>IF(W285&gt;0,INDEX(lerntab___0,W285,1),0)</f>
        <v>0</v>
      </c>
      <c r="Y285" s="141">
        <f>ROUND(X285*I285,0)</f>
        <v>0</v>
      </c>
      <c r="Z285" s="155"/>
      <c r="AA285" s="131" t="s">
        <v>697</v>
      </c>
      <c r="AB285" s="137"/>
      <c r="AC285" s="138"/>
      <c r="AD285" s="139"/>
      <c r="AE285" s="140">
        <f>IF(AD285&gt;0,INDEX(lerntab___0,AD285,1),0)</f>
        <v>0</v>
      </c>
      <c r="AF285" s="141">
        <f>ROUND(AE285*R285,0)</f>
        <v>0</v>
      </c>
      <c r="AH285" s="155"/>
      <c r="AJ285" s="4"/>
      <c r="AN285" s="146">
        <f>IF(LEFT(C285,1)="A",Y285,0)</f>
        <v>0</v>
      </c>
      <c r="AO285" s="146">
        <f>IF(LEFT(C285,1)="K",Y285,0)</f>
        <v>0</v>
      </c>
      <c r="AP285" s="146">
        <f>IF(LEFT(C285,1)="M",Y285,0)</f>
        <v>0</v>
      </c>
      <c r="AQ285" s="146"/>
      <c r="AR285" s="146">
        <f>IF(LEFT(M285,1)="A",AF285,0)</f>
        <v>0</v>
      </c>
      <c r="AS285" s="146">
        <f>IF(LEFT(M285,1)="K",AF285,0)</f>
        <v>0</v>
      </c>
      <c r="AT285" s="146">
        <f>IF(LEFT(M285,1)="M",AF285,0)</f>
        <v>0</v>
      </c>
      <c r="IU285"/>
      <c r="IV285"/>
    </row>
    <row r="286" spans="1:256" s="2" customFormat="1" ht="9" customHeight="1">
      <c r="A286" s="131" t="s">
        <v>666</v>
      </c>
      <c r="B286" s="132"/>
      <c r="C286" s="133"/>
      <c r="D286" s="171" t="s">
        <v>590</v>
      </c>
      <c r="E286" s="134">
        <v>-5</v>
      </c>
      <c r="F286" s="134">
        <v>60</v>
      </c>
      <c r="G286" s="135">
        <f>(3*Mt___0+Int+Kr___0)/5</f>
        <v>75</v>
      </c>
      <c r="H286" s="135">
        <f>IF(G286&lt;50,450-6*G286,IF(G286&lt;100,250-2*G286,75-G286/4))</f>
        <v>100</v>
      </c>
      <c r="I286" s="136">
        <f>H286*F286/100</f>
        <v>60</v>
      </c>
      <c r="J286" s="131" t="s">
        <v>698</v>
      </c>
      <c r="K286" s="132"/>
      <c r="L286" s="132" t="s">
        <v>663</v>
      </c>
      <c r="M286" s="171" t="s">
        <v>590</v>
      </c>
      <c r="N286" s="150">
        <v>30</v>
      </c>
      <c r="O286" s="150">
        <v>25</v>
      </c>
      <c r="P286" s="135">
        <f>(3*Mt___0+Int+Schn___0)/5</f>
        <v>75</v>
      </c>
      <c r="Q286" s="135">
        <f>IF(P286&lt;50,450-6*P286,IF(P286&lt;100,250-2*P286,75-P286/4))</f>
        <v>100</v>
      </c>
      <c r="R286" s="569">
        <f>Q286*O286/100</f>
        <v>25</v>
      </c>
      <c r="T286" s="131" t="s">
        <v>666</v>
      </c>
      <c r="U286" s="137"/>
      <c r="V286" s="138"/>
      <c r="W286" s="153"/>
      <c r="X286" s="140">
        <f>IF(W286&gt;0,INDEX(lerntab___0,W286,1),0)</f>
        <v>0</v>
      </c>
      <c r="Y286" s="141">
        <f>ROUND(X286*I286,0)</f>
        <v>0</v>
      </c>
      <c r="Z286" s="155"/>
      <c r="AA286" s="131" t="s">
        <v>698</v>
      </c>
      <c r="AB286" s="137"/>
      <c r="AC286" s="138"/>
      <c r="AD286" s="139"/>
      <c r="AE286" s="140">
        <f>IF(AD286&gt;0,INDEX(lerntab___0,AD286,1),0)</f>
        <v>0</v>
      </c>
      <c r="AF286" s="141">
        <f>ROUND(AE286*R286,0)</f>
        <v>0</v>
      </c>
      <c r="AH286" s="155"/>
      <c r="AJ286" s="4"/>
      <c r="AN286" s="146">
        <f>IF(LEFT(C286,1)="A",Y286,0)</f>
        <v>0</v>
      </c>
      <c r="AO286" s="146">
        <f>IF(LEFT(C286,1)="K",Y286,0)</f>
        <v>0</v>
      </c>
      <c r="AP286" s="146">
        <f>IF(LEFT(C286,1)="M",Y286,0)</f>
        <v>0</v>
      </c>
      <c r="AQ286" s="146"/>
      <c r="AR286" s="146">
        <f>IF(LEFT(M286,1)="A",AF286,0)</f>
        <v>0</v>
      </c>
      <c r="AS286" s="146">
        <f>IF(LEFT(M286,1)="K",AF286,0)</f>
        <v>0</v>
      </c>
      <c r="AT286" s="146">
        <f>IF(LEFT(M286,1)="M",AF286,0)</f>
        <v>0</v>
      </c>
      <c r="IU286"/>
      <c r="IV286"/>
    </row>
    <row r="287" spans="1:256" s="2" customFormat="1" ht="9" customHeight="1">
      <c r="A287" s="131" t="s">
        <v>668</v>
      </c>
      <c r="B287" s="132"/>
      <c r="C287" s="132"/>
      <c r="D287" s="171" t="s">
        <v>590</v>
      </c>
      <c r="E287" s="134">
        <v>10</v>
      </c>
      <c r="F287" s="134">
        <v>80</v>
      </c>
      <c r="G287" s="135">
        <f>(3*Mt___0+Int+Kr___0)/5</f>
        <v>75</v>
      </c>
      <c r="H287" s="135">
        <f>IF(G287&lt;50,450-6*G287,IF(G287&lt;100,250-2*G287,75-G287/4))</f>
        <v>100</v>
      </c>
      <c r="I287" s="136">
        <f>H287*F287/100</f>
        <v>80</v>
      </c>
      <c r="J287" s="131" t="s">
        <v>699</v>
      </c>
      <c r="K287" s="132"/>
      <c r="L287" s="132" t="s">
        <v>663</v>
      </c>
      <c r="M287" s="171" t="s">
        <v>590</v>
      </c>
      <c r="N287" s="150">
        <v>30</v>
      </c>
      <c r="O287" s="134">
        <v>50</v>
      </c>
      <c r="P287" s="135">
        <f>(3*Mt___0+Int+Schn___0)/5</f>
        <v>75</v>
      </c>
      <c r="Q287" s="135">
        <f>IF(P287&lt;50,450-6*P287,IF(P287&lt;100,250-2*P287,75-P287/4))</f>
        <v>100</v>
      </c>
      <c r="R287" s="136">
        <f>Q287*O287/100</f>
        <v>50</v>
      </c>
      <c r="T287" s="131" t="s">
        <v>668</v>
      </c>
      <c r="U287" s="137"/>
      <c r="V287" s="138"/>
      <c r="W287" s="153"/>
      <c r="X287" s="140">
        <f>IF(W287&gt;0,INDEX(lerntab___0,W287,1),0)</f>
        <v>0</v>
      </c>
      <c r="Y287" s="141">
        <f>ROUND(X287*I287,0)</f>
        <v>0</v>
      </c>
      <c r="Z287" s="155"/>
      <c r="AA287" s="131" t="s">
        <v>699</v>
      </c>
      <c r="AB287" s="137"/>
      <c r="AC287" s="138"/>
      <c r="AD287" s="139"/>
      <c r="AE287" s="140">
        <f>IF(AD287&gt;0,INDEX(lerntab___0,AD287,1),0)</f>
        <v>0</v>
      </c>
      <c r="AF287" s="141">
        <f>ROUND(AE287*R287,0)</f>
        <v>0</v>
      </c>
      <c r="AH287" s="155"/>
      <c r="AJ287" s="4"/>
      <c r="AN287" s="146">
        <f>IF(LEFT(C287,1)="A",Y287,0)</f>
        <v>0</v>
      </c>
      <c r="AO287" s="146">
        <f>IF(LEFT(C287,1)="K",Y287,0)</f>
        <v>0</v>
      </c>
      <c r="AP287" s="146">
        <f>IF(LEFT(C287,1)="M",Y287,0)</f>
        <v>0</v>
      </c>
      <c r="AQ287" s="146"/>
      <c r="AR287" s="146">
        <f>IF(LEFT(M287,1)="A",AF287,0)</f>
        <v>0</v>
      </c>
      <c r="AS287" s="146">
        <f>IF(LEFT(M287,1)="K",AF287,0)</f>
        <v>0</v>
      </c>
      <c r="AT287" s="146">
        <f>IF(LEFT(M287,1)="M",AF287,0)</f>
        <v>0</v>
      </c>
      <c r="IU287"/>
      <c r="IV287"/>
    </row>
    <row r="288" spans="1:256" s="2" customFormat="1" ht="9" customHeight="1">
      <c r="A288" s="131" t="s">
        <v>670</v>
      </c>
      <c r="B288" s="132"/>
      <c r="C288" s="133"/>
      <c r="D288" s="171" t="s">
        <v>590</v>
      </c>
      <c r="E288" s="134">
        <v>30</v>
      </c>
      <c r="F288" s="134">
        <v>100</v>
      </c>
      <c r="G288" s="135">
        <f>(3*Mt___0+Int+Kr___0)/5</f>
        <v>75</v>
      </c>
      <c r="H288" s="135">
        <f>IF(G288&lt;50,450-6*G288,IF(G288&lt;100,250-2*G288,75-G288/4))</f>
        <v>100</v>
      </c>
      <c r="I288" s="136">
        <f>H288*F288/100</f>
        <v>100</v>
      </c>
      <c r="J288" s="131" t="s">
        <v>700</v>
      </c>
      <c r="K288" s="132"/>
      <c r="L288" s="132" t="s">
        <v>663</v>
      </c>
      <c r="M288" s="171" t="s">
        <v>590</v>
      </c>
      <c r="N288" s="150">
        <v>30</v>
      </c>
      <c r="O288" s="134">
        <v>50</v>
      </c>
      <c r="P288" s="135">
        <f>(3*Mt___0+Int+Schn___0)/5</f>
        <v>75</v>
      </c>
      <c r="Q288" s="135">
        <f>IF(P288&lt;50,450-6*P288,IF(P288&lt;100,250-2*P288,75-P288/4))</f>
        <v>100</v>
      </c>
      <c r="R288" s="136">
        <f>Q288*O288/100</f>
        <v>50</v>
      </c>
      <c r="T288" s="131" t="s">
        <v>670</v>
      </c>
      <c r="U288" s="137"/>
      <c r="V288" s="138"/>
      <c r="W288" s="153"/>
      <c r="X288" s="140">
        <f>IF(W288&gt;0,INDEX(lerntab___0,W288,1),0)</f>
        <v>0</v>
      </c>
      <c r="Y288" s="141">
        <f>ROUND(X288*I288,0)</f>
        <v>0</v>
      </c>
      <c r="Z288" s="155"/>
      <c r="AA288" s="131" t="s">
        <v>700</v>
      </c>
      <c r="AB288" s="137"/>
      <c r="AC288" s="138"/>
      <c r="AD288" s="139"/>
      <c r="AE288" s="140">
        <f>IF(AD288&gt;0,INDEX(lerntab___0,AD288,1),0)</f>
        <v>0</v>
      </c>
      <c r="AF288" s="141">
        <f>ROUND(AE288*R288,0)</f>
        <v>0</v>
      </c>
      <c r="AH288" s="155"/>
      <c r="AJ288" s="4"/>
      <c r="AN288" s="146">
        <f>IF(LEFT(C288,1)="A",Y288,0)</f>
        <v>0</v>
      </c>
      <c r="AO288" s="146">
        <f>IF(LEFT(C288,1)="K",Y288,0)</f>
        <v>0</v>
      </c>
      <c r="AP288" s="146">
        <f>IF(LEFT(C288,1)="M",Y288,0)</f>
        <v>0</v>
      </c>
      <c r="AQ288" s="146"/>
      <c r="AR288" s="146">
        <f>IF(LEFT(M288,1)="A",AF288,0)</f>
        <v>0</v>
      </c>
      <c r="AS288" s="146">
        <f>IF(LEFT(M288,1)="K",AF288,0)</f>
        <v>0</v>
      </c>
      <c r="AT288" s="146">
        <f>IF(LEFT(M288,1)="M",AF288,0)</f>
        <v>0</v>
      </c>
      <c r="IU288"/>
      <c r="IV288"/>
    </row>
    <row r="289" spans="1:256" s="2" customFormat="1" ht="9" customHeight="1">
      <c r="A289" s="131" t="s">
        <v>672</v>
      </c>
      <c r="B289" s="132"/>
      <c r="C289" s="133"/>
      <c r="D289" s="171" t="s">
        <v>590</v>
      </c>
      <c r="E289" s="134">
        <v>30</v>
      </c>
      <c r="F289" s="134">
        <v>120</v>
      </c>
      <c r="G289" s="135">
        <f>(3*Mt___0+Int+Kr___0)/5</f>
        <v>75</v>
      </c>
      <c r="H289" s="135">
        <f>IF(G289&lt;50,450-6*G289,IF(G289&lt;100,250-2*G289,75-G289/4))</f>
        <v>100</v>
      </c>
      <c r="I289" s="136">
        <f>H289*F289/100</f>
        <v>120</v>
      </c>
      <c r="J289" s="197" t="s">
        <v>673</v>
      </c>
      <c r="K289" s="182"/>
      <c r="L289" s="182"/>
      <c r="M289" s="212"/>
      <c r="N289" s="212"/>
      <c r="O289" s="212"/>
      <c r="P289" s="199"/>
      <c r="Q289" s="199"/>
      <c r="R289" s="130"/>
      <c r="T289" s="131" t="s">
        <v>672</v>
      </c>
      <c r="U289" s="137"/>
      <c r="V289" s="138"/>
      <c r="W289" s="153"/>
      <c r="X289" s="140">
        <f>IF(W289&gt;0,INDEX(lerntab___0,W289,1),0)</f>
        <v>0</v>
      </c>
      <c r="Y289" s="141">
        <f>ROUND(X289*I289,0)</f>
        <v>0</v>
      </c>
      <c r="Z289" s="155"/>
      <c r="AA289" s="197" t="s">
        <v>673</v>
      </c>
      <c r="AB289" s="137"/>
      <c r="AC289" s="211"/>
      <c r="AD289" s="212"/>
      <c r="AE289" s="182"/>
      <c r="AF289" s="183"/>
      <c r="AH289" s="155"/>
      <c r="AJ289" s="4"/>
      <c r="AN289" s="146">
        <f>IF(LEFT(C289,1)="A",Y289,0)</f>
        <v>0</v>
      </c>
      <c r="AO289" s="146">
        <f>IF(LEFT(C289,1)="K",Y289,0)</f>
        <v>0</v>
      </c>
      <c r="AP289" s="146">
        <f>IF(LEFT(C289,1)="M",Y289,0)</f>
        <v>0</v>
      </c>
      <c r="AQ289" s="146"/>
      <c r="AR289" s="146">
        <f>IF(LEFT(M289,1)="A",AF289,0)</f>
        <v>0</v>
      </c>
      <c r="AS289" s="146">
        <f>IF(LEFT(M289,1)="K",AF289,0)</f>
        <v>0</v>
      </c>
      <c r="AT289" s="146">
        <f>IF(LEFT(M289,1)="M",AF289,0)</f>
        <v>0</v>
      </c>
      <c r="IU289"/>
      <c r="IV289"/>
    </row>
    <row r="290" spans="1:256" s="2" customFormat="1" ht="9" customHeight="1">
      <c r="A290" s="479" t="s">
        <v>701</v>
      </c>
      <c r="B290" s="132"/>
      <c r="C290" s="132"/>
      <c r="D290" s="168"/>
      <c r="E290" s="148"/>
      <c r="F290" s="314"/>
      <c r="G290" s="490"/>
      <c r="H290" s="490"/>
      <c r="I290" s="130"/>
      <c r="J290" s="172" t="s">
        <v>702</v>
      </c>
      <c r="K290" s="173"/>
      <c r="L290" s="568" t="s">
        <v>49</v>
      </c>
      <c r="M290" s="171" t="s">
        <v>515</v>
      </c>
      <c r="N290" s="150" t="s">
        <v>703</v>
      </c>
      <c r="O290" s="150">
        <v>5</v>
      </c>
      <c r="P290" s="135">
        <f>(3*Mt___0+Int+Schn___0)/5</f>
        <v>75</v>
      </c>
      <c r="Q290" s="135">
        <f>IF(P290&lt;50,450-6*P290,IF(P290&lt;100,250-2*P290,75-P290/4))</f>
        <v>100</v>
      </c>
      <c r="R290" s="136">
        <f>Q290*O290/100</f>
        <v>5</v>
      </c>
      <c r="T290" s="479" t="s">
        <v>701</v>
      </c>
      <c r="U290" s="137"/>
      <c r="V290" s="211"/>
      <c r="W290" s="605"/>
      <c r="X290" s="182"/>
      <c r="Y290" s="183"/>
      <c r="Z290" s="155"/>
      <c r="AA290" s="172" t="s">
        <v>702</v>
      </c>
      <c r="AB290" s="137"/>
      <c r="AC290" s="568" t="s">
        <v>49</v>
      </c>
      <c r="AD290" s="139"/>
      <c r="AE290" s="140">
        <f>IF(AD290&gt;0,INDEX(lerntab___0,AD290,1),0)</f>
        <v>0</v>
      </c>
      <c r="AF290" s="141">
        <f>ROUND(AE290*R290,0)</f>
        <v>0</v>
      </c>
      <c r="AH290" s="155"/>
      <c r="AJ290" s="4"/>
      <c r="AN290" s="146">
        <f>IF(LEFT(C290,1)="A",Y290,0)</f>
        <v>0</v>
      </c>
      <c r="AO290" s="146">
        <f>IF(LEFT(C290,1)="K",Y290,0)</f>
        <v>0</v>
      </c>
      <c r="AP290" s="146">
        <f>IF(LEFT(C290,1)="M",Y290,0)</f>
        <v>0</v>
      </c>
      <c r="AQ290" s="146"/>
      <c r="AR290" s="146">
        <f>IF(LEFT(M290,1)="A",AF290,0)</f>
        <v>0</v>
      </c>
      <c r="AS290" s="146">
        <f>IF(LEFT(M290,1)="K",AF290,0)</f>
        <v>0</v>
      </c>
      <c r="AT290" s="146">
        <f>IF(LEFT(M290,1)="M",AF290,0)</f>
        <v>0</v>
      </c>
      <c r="IU290"/>
      <c r="IV290"/>
    </row>
    <row r="291" spans="1:256" s="2" customFormat="1" ht="9" customHeight="1">
      <c r="A291" s="131" t="s">
        <v>661</v>
      </c>
      <c r="B291" s="132"/>
      <c r="C291" s="132"/>
      <c r="D291" s="171" t="s">
        <v>590</v>
      </c>
      <c r="E291" s="134">
        <v>10</v>
      </c>
      <c r="F291" s="150">
        <v>30</v>
      </c>
      <c r="G291" s="135">
        <f>(3*Mt___0+Int+Kr___0)/5</f>
        <v>75</v>
      </c>
      <c r="H291" s="135">
        <f>IF(G291&lt;50,450-6*G291,IF(G291&lt;100,250-2*G291,75-G291/4))</f>
        <v>100</v>
      </c>
      <c r="I291" s="136">
        <f>H291*F291/100</f>
        <v>30</v>
      </c>
      <c r="J291" s="577"/>
      <c r="K291" s="654"/>
      <c r="L291" s="568" t="s">
        <v>518</v>
      </c>
      <c r="M291" s="171" t="s">
        <v>521</v>
      </c>
      <c r="N291" s="150" t="s">
        <v>433</v>
      </c>
      <c r="O291" s="150">
        <v>5</v>
      </c>
      <c r="P291" s="135">
        <f>(3*Mt___0+Int+Schn___0)/5</f>
        <v>75</v>
      </c>
      <c r="Q291" s="135">
        <f>IF(P291&lt;50,450-6*P291,IF(P291&lt;100,250-2*P291,75-P291/4))</f>
        <v>100</v>
      </c>
      <c r="R291" s="136">
        <f>Q291*O291/100</f>
        <v>5</v>
      </c>
      <c r="T291" s="131" t="s">
        <v>661</v>
      </c>
      <c r="U291" s="137"/>
      <c r="V291" s="138"/>
      <c r="W291" s="153"/>
      <c r="X291" s="140">
        <f>IF(W291&gt;0,INDEX(lerntab___0,W291,1),0)</f>
        <v>0</v>
      </c>
      <c r="Y291" s="141">
        <f>ROUND(X291*I291,0)</f>
        <v>0</v>
      </c>
      <c r="Z291" s="155"/>
      <c r="AA291" s="577"/>
      <c r="AB291" s="137"/>
      <c r="AC291" s="568" t="s">
        <v>518</v>
      </c>
      <c r="AD291" s="139"/>
      <c r="AE291" s="140">
        <f>IF(AD291&gt;0,INDEX(lerntab___0,AD291,1),0)</f>
        <v>0</v>
      </c>
      <c r="AF291" s="141">
        <f>ROUND(AE291*R291,0)</f>
        <v>0</v>
      </c>
      <c r="AH291" s="155"/>
      <c r="AJ291" s="4"/>
      <c r="AN291" s="146">
        <f>IF(LEFT(C291,1)="A",Y291,0)</f>
        <v>0</v>
      </c>
      <c r="AO291" s="146">
        <f>IF(LEFT(C291,1)="K",Y291,0)</f>
        <v>0</v>
      </c>
      <c r="AP291" s="146">
        <f>IF(LEFT(C291,1)="M",Y291,0)</f>
        <v>0</v>
      </c>
      <c r="AQ291" s="146"/>
      <c r="AR291" s="146">
        <f>IF(LEFT(M291,1)="A",AF291,0)</f>
        <v>0</v>
      </c>
      <c r="AS291" s="146">
        <f>IF(LEFT(M291,1)="K",AF291,0)</f>
        <v>0</v>
      </c>
      <c r="AT291" s="146">
        <f>IF(LEFT(M291,1)="M",AF291,0)</f>
        <v>0</v>
      </c>
      <c r="IU291"/>
      <c r="IV291"/>
    </row>
    <row r="292" spans="1:256" s="2" customFormat="1" ht="9" customHeight="1">
      <c r="A292" s="131" t="s">
        <v>664</v>
      </c>
      <c r="B292" s="132"/>
      <c r="C292" s="132"/>
      <c r="D292" s="171" t="s">
        <v>590</v>
      </c>
      <c r="E292" s="134">
        <v>-5</v>
      </c>
      <c r="F292" s="134">
        <v>60</v>
      </c>
      <c r="G292" s="135">
        <f>(3*Mt___0+Int+Kr___0)/5</f>
        <v>75</v>
      </c>
      <c r="H292" s="135">
        <f>IF(G292&lt;50,450-6*G292,IF(G292&lt;100,250-2*G292,75-G292/4))</f>
        <v>100</v>
      </c>
      <c r="I292" s="136">
        <f>H292*F292/100</f>
        <v>60</v>
      </c>
      <c r="J292" s="172" t="s">
        <v>704</v>
      </c>
      <c r="K292" s="173"/>
      <c r="L292" s="568" t="s">
        <v>49</v>
      </c>
      <c r="M292" s="171" t="s">
        <v>515</v>
      </c>
      <c r="N292" s="150" t="str">
        <f>N290</f>
        <v>s. Spruch</v>
      </c>
      <c r="O292" s="150">
        <v>25</v>
      </c>
      <c r="P292" s="135">
        <f>(3*Mt___0+Int+Schn___0)/5</f>
        <v>75</v>
      </c>
      <c r="Q292" s="135">
        <f>IF(P292&lt;50,450-6*P292,IF(P292&lt;100,250-2*P292,75-P292/4))</f>
        <v>100</v>
      </c>
      <c r="R292" s="136">
        <f>Q292*O292/100</f>
        <v>25</v>
      </c>
      <c r="T292" s="131" t="s">
        <v>664</v>
      </c>
      <c r="U292" s="137"/>
      <c r="V292" s="138"/>
      <c r="W292" s="153"/>
      <c r="X292" s="140">
        <f>IF(W292&gt;0,INDEX(lerntab___0,W292,1),0)</f>
        <v>0</v>
      </c>
      <c r="Y292" s="141">
        <f>ROUND(X292*I292,0)</f>
        <v>0</v>
      </c>
      <c r="Z292" s="155"/>
      <c r="AA292" s="172" t="s">
        <v>704</v>
      </c>
      <c r="AB292" s="137"/>
      <c r="AC292" s="568" t="s">
        <v>49</v>
      </c>
      <c r="AD292" s="139"/>
      <c r="AE292" s="140">
        <f>IF(AD292&gt;0,INDEX(lerntab___0,AD292,1),0)</f>
        <v>0</v>
      </c>
      <c r="AF292" s="141">
        <f>ROUND(AE292*R292,0)</f>
        <v>0</v>
      </c>
      <c r="AH292" s="155"/>
      <c r="AJ292" s="4"/>
      <c r="AN292" s="146">
        <f>IF(LEFT(C292,1)="A",Y292,0)</f>
        <v>0</v>
      </c>
      <c r="AO292" s="146">
        <f>IF(LEFT(C292,1)="K",Y292,0)</f>
        <v>0</v>
      </c>
      <c r="AP292" s="146">
        <f>IF(LEFT(C292,1)="M",Y292,0)</f>
        <v>0</v>
      </c>
      <c r="AQ292" s="146"/>
      <c r="AR292" s="146">
        <f>IF(LEFT(M292,1)="A",AF292,0)</f>
        <v>0</v>
      </c>
      <c r="AS292" s="146">
        <f>IF(LEFT(M292,1)="K",AF292,0)</f>
        <v>0</v>
      </c>
      <c r="AT292" s="146">
        <f>IF(LEFT(M292,1)="M",AF292,0)</f>
        <v>0</v>
      </c>
      <c r="IU292"/>
      <c r="IV292"/>
    </row>
    <row r="293" spans="1:256" s="2" customFormat="1" ht="9" customHeight="1">
      <c r="A293" s="131" t="s">
        <v>666</v>
      </c>
      <c r="B293" s="132"/>
      <c r="C293" s="133"/>
      <c r="D293" s="171" t="s">
        <v>590</v>
      </c>
      <c r="E293" s="134">
        <v>-5</v>
      </c>
      <c r="F293" s="134">
        <v>90</v>
      </c>
      <c r="G293" s="135">
        <f>(3*Mt___0+Int+Kr___0)/5</f>
        <v>75</v>
      </c>
      <c r="H293" s="135">
        <f>IF(G293&lt;50,450-6*G293,IF(G293&lt;100,250-2*G293,75-G293/4))</f>
        <v>100</v>
      </c>
      <c r="I293" s="136">
        <f>H293*F293/100</f>
        <v>90</v>
      </c>
      <c r="J293" s="577"/>
      <c r="K293" s="6"/>
      <c r="L293" s="568" t="s">
        <v>518</v>
      </c>
      <c r="M293" s="171" t="s">
        <v>521</v>
      </c>
      <c r="N293" s="150" t="s">
        <v>433</v>
      </c>
      <c r="O293" s="150">
        <v>25</v>
      </c>
      <c r="P293" s="135">
        <f>(3*Mt___0+Int+Schn___0)/5</f>
        <v>75</v>
      </c>
      <c r="Q293" s="135">
        <f>IF(P293&lt;50,450-6*P293,IF(P293&lt;100,250-2*P293,75-P293/4))</f>
        <v>100</v>
      </c>
      <c r="R293" s="136">
        <f>Q293*O293/100</f>
        <v>25</v>
      </c>
      <c r="T293" s="131" t="s">
        <v>666</v>
      </c>
      <c r="U293" s="137"/>
      <c r="V293" s="138"/>
      <c r="W293" s="153"/>
      <c r="X293" s="140">
        <f>IF(W293&gt;0,INDEX(lerntab___0,W293,1),0)</f>
        <v>0</v>
      </c>
      <c r="Y293" s="141">
        <f>ROUND(X293*I293,0)</f>
        <v>0</v>
      </c>
      <c r="Z293" s="155"/>
      <c r="AA293" s="577"/>
      <c r="AB293" s="137"/>
      <c r="AC293" s="568" t="s">
        <v>518</v>
      </c>
      <c r="AD293" s="139"/>
      <c r="AE293" s="140">
        <f>IF(AD293&gt;0,INDEX(lerntab___0,AD293,1),0)</f>
        <v>0</v>
      </c>
      <c r="AF293" s="141">
        <f>ROUND(AE293*R293,0)</f>
        <v>0</v>
      </c>
      <c r="AH293" s="155"/>
      <c r="AJ293" s="4"/>
      <c r="AN293" s="146">
        <f>IF(LEFT(C293,1)="A",Y293,0)</f>
        <v>0</v>
      </c>
      <c r="AO293" s="146">
        <f>IF(LEFT(C293,1)="K",Y293,0)</f>
        <v>0</v>
      </c>
      <c r="AP293" s="146">
        <f>IF(LEFT(C293,1)="M",Y293,0)</f>
        <v>0</v>
      </c>
      <c r="AQ293" s="146"/>
      <c r="AR293" s="146">
        <f>IF(LEFT(M293,1)="A",AF293,0)</f>
        <v>0</v>
      </c>
      <c r="AS293" s="146">
        <f>IF(LEFT(M293,1)="K",AF293,0)</f>
        <v>0</v>
      </c>
      <c r="AT293" s="146">
        <f>IF(LEFT(M293,1)="M",AF293,0)</f>
        <v>0</v>
      </c>
      <c r="IU293"/>
      <c r="IV293"/>
    </row>
    <row r="294" spans="1:256" s="2" customFormat="1" ht="9" customHeight="1">
      <c r="A294" s="131" t="s">
        <v>668</v>
      </c>
      <c r="B294" s="132"/>
      <c r="C294" s="132"/>
      <c r="D294" s="171" t="s">
        <v>590</v>
      </c>
      <c r="E294" s="134">
        <v>10</v>
      </c>
      <c r="F294" s="134">
        <v>120</v>
      </c>
      <c r="G294" s="135">
        <f>(3*Mt___0+Int+Kr___0)/5</f>
        <v>75</v>
      </c>
      <c r="H294" s="135">
        <f>IF(G294&lt;50,450-6*G294,IF(G294&lt;100,250-2*G294,75-G294/4))</f>
        <v>100</v>
      </c>
      <c r="I294" s="136">
        <f>H294*F294/100</f>
        <v>120</v>
      </c>
      <c r="J294" s="172" t="s">
        <v>705</v>
      </c>
      <c r="K294" s="173"/>
      <c r="L294" s="568" t="s">
        <v>49</v>
      </c>
      <c r="M294" s="171" t="s">
        <v>515</v>
      </c>
      <c r="N294" s="150" t="str">
        <f>N292</f>
        <v>s. Spruch</v>
      </c>
      <c r="O294" s="150">
        <v>50</v>
      </c>
      <c r="P294" s="135">
        <f>(3*Mt___0+Int+Schn___0)/5</f>
        <v>75</v>
      </c>
      <c r="Q294" s="135">
        <f>IF(P294&lt;50,450-6*P294,IF(P294&lt;100,250-2*P294,75-P294/4))</f>
        <v>100</v>
      </c>
      <c r="R294" s="136">
        <f>Q294*O294/100</f>
        <v>50</v>
      </c>
      <c r="T294" s="131" t="s">
        <v>668</v>
      </c>
      <c r="U294" s="137"/>
      <c r="V294" s="138"/>
      <c r="W294" s="153"/>
      <c r="X294" s="140">
        <f>IF(W294&gt;0,INDEX(lerntab___0,W294,1),0)</f>
        <v>0</v>
      </c>
      <c r="Y294" s="141">
        <f>ROUND(X294*I294,0)</f>
        <v>0</v>
      </c>
      <c r="Z294" s="155"/>
      <c r="AA294" s="172" t="s">
        <v>705</v>
      </c>
      <c r="AB294" s="137"/>
      <c r="AC294" s="568" t="s">
        <v>49</v>
      </c>
      <c r="AD294" s="139"/>
      <c r="AE294" s="140">
        <f>IF(AD294&gt;0,INDEX(lerntab___0,AD294,1),0)</f>
        <v>0</v>
      </c>
      <c r="AF294" s="141">
        <f>ROUND(AE294*R294,0)</f>
        <v>0</v>
      </c>
      <c r="AH294" s="155"/>
      <c r="AJ294" s="4"/>
      <c r="AN294" s="146">
        <f>IF(LEFT(C294,1)="A",Y294,0)</f>
        <v>0</v>
      </c>
      <c r="AO294" s="146">
        <f>IF(LEFT(C294,1)="K",Y294,0)</f>
        <v>0</v>
      </c>
      <c r="AP294" s="146">
        <f>IF(LEFT(C294,1)="M",Y294,0)</f>
        <v>0</v>
      </c>
      <c r="AQ294" s="146"/>
      <c r="AR294" s="146">
        <f>IF(LEFT(M294,1)="A",AF294,0)</f>
        <v>0</v>
      </c>
      <c r="AS294" s="146">
        <f>IF(LEFT(M294,1)="K",AF294,0)</f>
        <v>0</v>
      </c>
      <c r="AT294" s="146">
        <f>IF(LEFT(M294,1)="M",AF294,0)</f>
        <v>0</v>
      </c>
      <c r="IU294"/>
      <c r="IV294"/>
    </row>
    <row r="295" spans="1:256" s="2" customFormat="1" ht="9" customHeight="1">
      <c r="A295" s="131" t="s">
        <v>670</v>
      </c>
      <c r="B295" s="132"/>
      <c r="C295" s="133"/>
      <c r="D295" s="171" t="s">
        <v>590</v>
      </c>
      <c r="E295" s="134">
        <v>30</v>
      </c>
      <c r="F295" s="134">
        <v>150</v>
      </c>
      <c r="G295" s="135">
        <f>(3*Mt___0+Int+Kr___0)/5</f>
        <v>75</v>
      </c>
      <c r="H295" s="135">
        <f>IF(G295&lt;50,450-6*G295,IF(G295&lt;100,250-2*G295,75-G295/4))</f>
        <v>100</v>
      </c>
      <c r="I295" s="136">
        <f>H295*F295/100</f>
        <v>150</v>
      </c>
      <c r="J295" s="577"/>
      <c r="K295" s="6"/>
      <c r="L295" s="568" t="s">
        <v>518</v>
      </c>
      <c r="M295" s="171" t="s">
        <v>521</v>
      </c>
      <c r="N295" s="150" t="s">
        <v>433</v>
      </c>
      <c r="O295" s="150">
        <v>50</v>
      </c>
      <c r="P295" s="135">
        <f>(3*Mt___0+Int+Schn___0)/5</f>
        <v>75</v>
      </c>
      <c r="Q295" s="135">
        <f>IF(P295&lt;50,450-6*P295,IF(P295&lt;100,250-2*P295,75-P295/4))</f>
        <v>100</v>
      </c>
      <c r="R295" s="136">
        <f>Q295*O295/100</f>
        <v>50</v>
      </c>
      <c r="T295" s="131" t="s">
        <v>670</v>
      </c>
      <c r="U295" s="137"/>
      <c r="V295" s="138"/>
      <c r="W295" s="153"/>
      <c r="X295" s="140">
        <f>IF(W295&gt;0,INDEX(lerntab___0,W295,1),0)</f>
        <v>0</v>
      </c>
      <c r="Y295" s="141">
        <f>ROUND(X295*I295,0)</f>
        <v>0</v>
      </c>
      <c r="Z295" s="155"/>
      <c r="AA295" s="577"/>
      <c r="AB295" s="137"/>
      <c r="AC295" s="568" t="s">
        <v>518</v>
      </c>
      <c r="AD295" s="139"/>
      <c r="AE295" s="140">
        <f>IF(AD295&gt;0,INDEX(lerntab___0,AD295,1),0)</f>
        <v>0</v>
      </c>
      <c r="AF295" s="141">
        <f>ROUND(AE295*R295,0)</f>
        <v>0</v>
      </c>
      <c r="AH295" s="155"/>
      <c r="AJ295" s="4"/>
      <c r="AN295" s="146">
        <f>IF(LEFT(C295,1)="A",Y295,0)</f>
        <v>0</v>
      </c>
      <c r="AO295" s="146">
        <f>IF(LEFT(C295,1)="K",Y295,0)</f>
        <v>0</v>
      </c>
      <c r="AP295" s="146">
        <f>IF(LEFT(C295,1)="M",Y295,0)</f>
        <v>0</v>
      </c>
      <c r="AQ295" s="146"/>
      <c r="AR295" s="146">
        <f>IF(LEFT(M295,1)="A",AF295,0)</f>
        <v>0</v>
      </c>
      <c r="AS295" s="146">
        <f>IF(LEFT(M295,1)="K",AF295,0)</f>
        <v>0</v>
      </c>
      <c r="AT295" s="146">
        <f>IF(LEFT(M295,1)="M",AF295,0)</f>
        <v>0</v>
      </c>
      <c r="IU295"/>
      <c r="IV295"/>
    </row>
    <row r="296" spans="1:256" s="2" customFormat="1" ht="9" customHeight="1">
      <c r="A296" s="131" t="s">
        <v>672</v>
      </c>
      <c r="B296" s="132"/>
      <c r="C296" s="133"/>
      <c r="D296" s="171" t="s">
        <v>590</v>
      </c>
      <c r="E296" s="134">
        <v>30</v>
      </c>
      <c r="F296" s="134">
        <v>180</v>
      </c>
      <c r="G296" s="135">
        <f>(3*Mt___0+Int+Kr___0)/5</f>
        <v>75</v>
      </c>
      <c r="H296" s="135">
        <f>IF(G296&lt;50,450-6*G296,IF(G296&lt;100,250-2*G296,75-G296/4))</f>
        <v>100</v>
      </c>
      <c r="I296" s="136">
        <f>H296*F296/100</f>
        <v>180</v>
      </c>
      <c r="J296" s="172" t="s">
        <v>706</v>
      </c>
      <c r="K296" s="173"/>
      <c r="L296" s="568" t="s">
        <v>49</v>
      </c>
      <c r="M296" s="171" t="s">
        <v>515</v>
      </c>
      <c r="N296" s="150" t="str">
        <f>N294</f>
        <v>s. Spruch</v>
      </c>
      <c r="O296" s="150">
        <v>100</v>
      </c>
      <c r="P296" s="135">
        <f>(3*Mt___0+Int+Schn___0)/5</f>
        <v>75</v>
      </c>
      <c r="Q296" s="135">
        <f>IF(P296&lt;50,450-6*P296,IF(P296&lt;100,250-2*P296,75-P296/4))</f>
        <v>100</v>
      </c>
      <c r="R296" s="136">
        <f>Q296*O296/100</f>
        <v>100</v>
      </c>
      <c r="T296" s="131" t="s">
        <v>672</v>
      </c>
      <c r="U296" s="137"/>
      <c r="V296" s="138"/>
      <c r="W296" s="153"/>
      <c r="X296" s="140">
        <f>IF(W296&gt;0,INDEX(lerntab___0,W296,1),0)</f>
        <v>0</v>
      </c>
      <c r="Y296" s="141">
        <f>ROUND(X296*I296,0)</f>
        <v>0</v>
      </c>
      <c r="Z296" s="155"/>
      <c r="AA296" s="172" t="s">
        <v>706</v>
      </c>
      <c r="AB296" s="137"/>
      <c r="AC296" s="568" t="s">
        <v>49</v>
      </c>
      <c r="AD296" s="139"/>
      <c r="AE296" s="140">
        <f>IF(AD296&gt;0,INDEX(lerntab___0,AD296,1),0)</f>
        <v>0</v>
      </c>
      <c r="AF296" s="141">
        <f>ROUND(AE296*R296,0)</f>
        <v>0</v>
      </c>
      <c r="AH296" s="155"/>
      <c r="AJ296" s="4"/>
      <c r="AN296" s="146">
        <f>IF(LEFT(C296,1)="A",Y296,0)</f>
        <v>0</v>
      </c>
      <c r="AO296" s="146">
        <f>IF(LEFT(C296,1)="K",Y296,0)</f>
        <v>0</v>
      </c>
      <c r="AP296" s="146">
        <f>IF(LEFT(C296,1)="M",Y296,0)</f>
        <v>0</v>
      </c>
      <c r="AQ296" s="146"/>
      <c r="AR296" s="146">
        <f>IF(LEFT(M296,1)="A",AF296,0)</f>
        <v>0</v>
      </c>
      <c r="AS296" s="146">
        <f>IF(LEFT(M296,1)="K",AF296,0)</f>
        <v>0</v>
      </c>
      <c r="AT296" s="146">
        <f>IF(LEFT(M296,1)="M",AF296,0)</f>
        <v>0</v>
      </c>
      <c r="IU296"/>
      <c r="IV296"/>
    </row>
    <row r="297" spans="1:256" s="2" customFormat="1" ht="9" customHeight="1">
      <c r="A297" s="479" t="s">
        <v>707</v>
      </c>
      <c r="B297" s="148"/>
      <c r="C297" s="149"/>
      <c r="D297" s="171"/>
      <c r="E297" s="150"/>
      <c r="F297" s="150"/>
      <c r="G297" s="135"/>
      <c r="H297" s="135"/>
      <c r="I297" s="136"/>
      <c r="J297" s="577"/>
      <c r="K297" s="6"/>
      <c r="L297" s="568" t="s">
        <v>518</v>
      </c>
      <c r="M297" s="171" t="s">
        <v>521</v>
      </c>
      <c r="N297" s="150" t="s">
        <v>433</v>
      </c>
      <c r="O297" s="150">
        <v>100</v>
      </c>
      <c r="P297" s="135">
        <f>(3*Mt___0+Int+Schn___0)/5</f>
        <v>75</v>
      </c>
      <c r="Q297" s="135">
        <f>IF(P297&lt;50,450-6*P297,IF(P297&lt;100,250-2*P297,75-P297/4))</f>
        <v>100</v>
      </c>
      <c r="R297" s="136">
        <f>Q297*O297/100</f>
        <v>100</v>
      </c>
      <c r="T297" s="479" t="s">
        <v>707</v>
      </c>
      <c r="U297" s="137"/>
      <c r="V297" s="211"/>
      <c r="W297" s="605"/>
      <c r="X297" s="182"/>
      <c r="Y297" s="183"/>
      <c r="Z297" s="155"/>
      <c r="AA297" s="577"/>
      <c r="AB297" s="137"/>
      <c r="AC297" s="568" t="s">
        <v>518</v>
      </c>
      <c r="AD297" s="139"/>
      <c r="AE297" s="140">
        <f>IF(AD297&gt;0,INDEX(lerntab___0,AD297,1),0)</f>
        <v>0</v>
      </c>
      <c r="AF297" s="141">
        <f>ROUND(AE297*R297,0)</f>
        <v>0</v>
      </c>
      <c r="AH297" s="155"/>
      <c r="AJ297" s="4"/>
      <c r="AN297" s="146">
        <f>IF(LEFT(C297,1)="A",Y297,0)</f>
        <v>0</v>
      </c>
      <c r="AO297" s="146">
        <f>IF(LEFT(C297,1)="K",Y297,0)</f>
        <v>0</v>
      </c>
      <c r="AP297" s="146">
        <f>IF(LEFT(C297,1)="M",Y297,0)</f>
        <v>0</v>
      </c>
      <c r="AQ297" s="146"/>
      <c r="AR297" s="146">
        <f>IF(LEFT(M297,1)="A",AF297,0)</f>
        <v>0</v>
      </c>
      <c r="AS297" s="146">
        <f>IF(LEFT(M297,1)="K",AF297,0)</f>
        <v>0</v>
      </c>
      <c r="AT297" s="146">
        <f>IF(LEFT(M297,1)="M",AF297,0)</f>
        <v>0</v>
      </c>
      <c r="IU297"/>
      <c r="IV297"/>
    </row>
    <row r="298" spans="1:256" s="2" customFormat="1" ht="9" customHeight="1">
      <c r="A298" s="147" t="s">
        <v>708</v>
      </c>
      <c r="B298" s="148"/>
      <c r="C298" s="149"/>
      <c r="D298" s="171" t="s">
        <v>590</v>
      </c>
      <c r="E298" s="150" t="s">
        <v>709</v>
      </c>
      <c r="F298" s="150">
        <v>30</v>
      </c>
      <c r="G298" s="135">
        <f>(3*Mt___0+Int+Kr___0)/5</f>
        <v>75</v>
      </c>
      <c r="H298" s="135">
        <f>IF(G298&lt;50,450-6*G298,IF(G298&lt;100,250-2*G298,75-G298/4))</f>
        <v>100</v>
      </c>
      <c r="I298" s="136">
        <f>H298*F298/100</f>
        <v>30</v>
      </c>
      <c r="J298" s="197" t="s">
        <v>710</v>
      </c>
      <c r="K298" s="182"/>
      <c r="L298" s="182"/>
      <c r="M298" s="566"/>
      <c r="N298" s="212"/>
      <c r="O298" s="212"/>
      <c r="P298" s="199"/>
      <c r="Q298" s="199"/>
      <c r="R298" s="130"/>
      <c r="T298" s="147" t="s">
        <v>708</v>
      </c>
      <c r="U298" s="137"/>
      <c r="V298" s="138"/>
      <c r="W298" s="153"/>
      <c r="X298" s="140">
        <f>IF(W298&gt;0,INDEX(lerntab___0,W298,1),0)</f>
        <v>0</v>
      </c>
      <c r="Y298" s="141">
        <f>ROUND(X298*I298,0)</f>
        <v>0</v>
      </c>
      <c r="Z298" s="155"/>
      <c r="AA298" s="197" t="s">
        <v>710</v>
      </c>
      <c r="AB298" s="137"/>
      <c r="AC298" s="211"/>
      <c r="AD298" s="212"/>
      <c r="AE298" s="182"/>
      <c r="AF298" s="183"/>
      <c r="AH298" s="155"/>
      <c r="AJ298" s="4"/>
      <c r="AN298" s="146">
        <f>IF(LEFT(C298,1)="A",Y298,0)</f>
        <v>0</v>
      </c>
      <c r="AO298" s="146">
        <f>IF(LEFT(C298,1)="K",Y298,0)</f>
        <v>0</v>
      </c>
      <c r="AP298" s="146">
        <f>IF(LEFT(C298,1)="M",Y298,0)</f>
        <v>0</v>
      </c>
      <c r="AQ298" s="146"/>
      <c r="AR298" s="146">
        <f>IF(LEFT(M298,1)="A",AF298,0)</f>
        <v>0</v>
      </c>
      <c r="AS298" s="146">
        <f>IF(LEFT(M298,1)="K",AF298,0)</f>
        <v>0</v>
      </c>
      <c r="AT298" s="146">
        <f>IF(LEFT(M298,1)="M",AF298,0)</f>
        <v>0</v>
      </c>
      <c r="IU298"/>
      <c r="IV298"/>
    </row>
    <row r="299" spans="1:256" s="2" customFormat="1" ht="9" customHeight="1">
      <c r="A299" s="147" t="s">
        <v>711</v>
      </c>
      <c r="B299" s="148"/>
      <c r="C299" s="149"/>
      <c r="D299" s="171" t="s">
        <v>590</v>
      </c>
      <c r="E299" s="150" t="s">
        <v>709</v>
      </c>
      <c r="F299" s="150">
        <v>30</v>
      </c>
      <c r="G299" s="135">
        <f>(3*Mt___0+Int+Kr___0)/5</f>
        <v>75</v>
      </c>
      <c r="H299" s="135">
        <f>IF(G299&lt;50,450-6*G299,IF(G299&lt;100,250-2*G299,75-G299/4))</f>
        <v>100</v>
      </c>
      <c r="I299" s="136">
        <f>H299*F299/100</f>
        <v>30</v>
      </c>
      <c r="J299" s="131" t="s">
        <v>712</v>
      </c>
      <c r="K299" s="132"/>
      <c r="L299" s="132"/>
      <c r="M299" s="171" t="s">
        <v>590</v>
      </c>
      <c r="N299" s="150" t="s">
        <v>713</v>
      </c>
      <c r="O299" s="150">
        <v>5</v>
      </c>
      <c r="P299" s="135">
        <f>(3*Mt___0+Int+Schn___0)/5</f>
        <v>75</v>
      </c>
      <c r="Q299" s="135">
        <f>IF(P299&lt;50,450-6*P299,IF(P299&lt;100,250-2*P299,75-P299/4))</f>
        <v>100</v>
      </c>
      <c r="R299" s="569">
        <f>Q299*O299/100</f>
        <v>5</v>
      </c>
      <c r="T299" s="147" t="s">
        <v>711</v>
      </c>
      <c r="U299" s="137"/>
      <c r="V299" s="138"/>
      <c r="W299" s="153"/>
      <c r="X299" s="140">
        <f>IF(W299&gt;0,INDEX(lerntab___0,W299,1),0)</f>
        <v>0</v>
      </c>
      <c r="Y299" s="141">
        <f>ROUND(X299*I299,0)</f>
        <v>0</v>
      </c>
      <c r="Z299" s="155"/>
      <c r="AA299" s="131" t="s">
        <v>712</v>
      </c>
      <c r="AB299" s="137"/>
      <c r="AC299" s="138"/>
      <c r="AD299" s="139"/>
      <c r="AE299" s="140">
        <f>IF(AD299&gt;0,INDEX(lerntab___0,AD299,1),0)</f>
        <v>0</v>
      </c>
      <c r="AF299" s="141">
        <f>ROUND(AE299*R299,0)</f>
        <v>0</v>
      </c>
      <c r="AH299" s="155"/>
      <c r="AJ299" s="4"/>
      <c r="AN299" s="146">
        <f>IF(LEFT(C299,1)="A",Y299,0)</f>
        <v>0</v>
      </c>
      <c r="AO299" s="146">
        <f>IF(LEFT(C299,1)="K",Y299,0)</f>
        <v>0</v>
      </c>
      <c r="AP299" s="146">
        <f>IF(LEFT(C299,1)="M",Y299,0)</f>
        <v>0</v>
      </c>
      <c r="AQ299" s="146"/>
      <c r="AR299" s="146">
        <f>IF(LEFT(M299,1)="A",AF299,0)</f>
        <v>0</v>
      </c>
      <c r="AS299" s="146">
        <f>IF(LEFT(M299,1)="K",AF299,0)</f>
        <v>0</v>
      </c>
      <c r="AT299" s="146">
        <f>IF(LEFT(M299,1)="M",AF299,0)</f>
        <v>0</v>
      </c>
      <c r="IU299"/>
      <c r="IV299"/>
    </row>
    <row r="300" spans="1:256" s="2" customFormat="1" ht="9" customHeight="1">
      <c r="A300" s="147" t="s">
        <v>714</v>
      </c>
      <c r="B300" s="148"/>
      <c r="C300" s="149"/>
      <c r="D300" s="171" t="s">
        <v>590</v>
      </c>
      <c r="E300" s="150" t="s">
        <v>709</v>
      </c>
      <c r="F300" s="150">
        <v>40</v>
      </c>
      <c r="G300" s="135">
        <f>(3*Mt___0+Int+Kr___0)/5</f>
        <v>75</v>
      </c>
      <c r="H300" s="135">
        <f>IF(G300&lt;50,450-6*G300,IF(G300&lt;100,250-2*G300,75-G300/4))</f>
        <v>100</v>
      </c>
      <c r="I300" s="136">
        <f>H300*F300/100</f>
        <v>40</v>
      </c>
      <c r="J300" s="131" t="s">
        <v>715</v>
      </c>
      <c r="K300" s="132"/>
      <c r="L300" s="132"/>
      <c r="M300" s="171" t="s">
        <v>590</v>
      </c>
      <c r="N300" s="150" t="s">
        <v>713</v>
      </c>
      <c r="O300" s="150">
        <v>10</v>
      </c>
      <c r="P300" s="135">
        <f>(3*Mt___0+Int+Schn___0)/5</f>
        <v>75</v>
      </c>
      <c r="Q300" s="135">
        <f>IF(P300&lt;50,450-6*P300,IF(P300&lt;100,250-2*P300,75-P300/4))</f>
        <v>100</v>
      </c>
      <c r="R300" s="569">
        <f>Q300*O300/100</f>
        <v>10</v>
      </c>
      <c r="T300" s="147" t="s">
        <v>714</v>
      </c>
      <c r="U300" s="137"/>
      <c r="V300" s="138"/>
      <c r="W300" s="153"/>
      <c r="X300" s="140">
        <f>IF(W300&gt;0,INDEX(lerntab___0,W300,1),0)</f>
        <v>0</v>
      </c>
      <c r="Y300" s="141">
        <f>ROUND(X300*I300,0)</f>
        <v>0</v>
      </c>
      <c r="Z300" s="155"/>
      <c r="AA300" s="131" t="s">
        <v>715</v>
      </c>
      <c r="AB300" s="137"/>
      <c r="AC300" s="138"/>
      <c r="AD300" s="139"/>
      <c r="AE300" s="140">
        <f>IF(AD300&gt;0,INDEX(lerntab___0,AD300,1),0)</f>
        <v>0</v>
      </c>
      <c r="AF300" s="141">
        <f>ROUND(AE300*R300,0)</f>
        <v>0</v>
      </c>
      <c r="AH300" s="155"/>
      <c r="AJ300" s="4"/>
      <c r="AN300" s="146">
        <f>IF(LEFT(C300,1)="A",Y300,0)</f>
        <v>0</v>
      </c>
      <c r="AO300" s="146">
        <f>IF(LEFT(C300,1)="K",Y300,0)</f>
        <v>0</v>
      </c>
      <c r="AP300" s="146">
        <f>IF(LEFT(C300,1)="M",Y300,0)</f>
        <v>0</v>
      </c>
      <c r="AQ300" s="146"/>
      <c r="AR300" s="146">
        <f>IF(LEFT(M300,1)="A",AF300,0)</f>
        <v>0</v>
      </c>
      <c r="AS300" s="146">
        <f>IF(LEFT(M300,1)="K",AF300,0)</f>
        <v>0</v>
      </c>
      <c r="AT300" s="146">
        <f>IF(LEFT(M300,1)="M",AF300,0)</f>
        <v>0</v>
      </c>
      <c r="IU300"/>
      <c r="IV300"/>
    </row>
    <row r="301" spans="1:256" s="2" customFormat="1" ht="9" customHeight="1">
      <c r="A301" s="147" t="s">
        <v>716</v>
      </c>
      <c r="B301" s="148"/>
      <c r="C301" s="148"/>
      <c r="D301" s="171" t="s">
        <v>590</v>
      </c>
      <c r="E301" s="150" t="s">
        <v>709</v>
      </c>
      <c r="F301" s="150">
        <v>80</v>
      </c>
      <c r="G301" s="135">
        <f>(3*Mt___0+Int+Kr___0)/5</f>
        <v>75</v>
      </c>
      <c r="H301" s="135">
        <f>IF(G301&lt;50,450-6*G301,IF(G301&lt;100,250-2*G301,75-G301/4))</f>
        <v>100</v>
      </c>
      <c r="I301" s="136">
        <f>H301*F301/100</f>
        <v>80</v>
      </c>
      <c r="J301" s="131" t="s">
        <v>717</v>
      </c>
      <c r="K301" s="132"/>
      <c r="L301" s="132"/>
      <c r="M301" s="171" t="s">
        <v>590</v>
      </c>
      <c r="N301" s="150" t="s">
        <v>713</v>
      </c>
      <c r="O301" s="134">
        <v>15</v>
      </c>
      <c r="P301" s="135">
        <f>(3*Mt___0+Int+Schn___0)/5</f>
        <v>75</v>
      </c>
      <c r="Q301" s="135">
        <f>IF(P301&lt;50,450-6*P301,IF(P301&lt;100,250-2*P301,75-P301/4))</f>
        <v>100</v>
      </c>
      <c r="R301" s="136">
        <f>Q301*O301/100</f>
        <v>15</v>
      </c>
      <c r="T301" s="147" t="s">
        <v>716</v>
      </c>
      <c r="U301" s="137"/>
      <c r="V301" s="138"/>
      <c r="W301" s="153"/>
      <c r="X301" s="140">
        <f>IF(W301&gt;0,INDEX(lerntab___0,W301,1),0)</f>
        <v>0</v>
      </c>
      <c r="Y301" s="141">
        <f>ROUND(X301*I301,0)</f>
        <v>0</v>
      </c>
      <c r="Z301" s="155"/>
      <c r="AA301" s="131" t="s">
        <v>717</v>
      </c>
      <c r="AB301" s="137"/>
      <c r="AC301" s="138"/>
      <c r="AD301" s="139"/>
      <c r="AE301" s="140">
        <f>IF(AD301&gt;0,INDEX(lerntab___0,AD301,1),0)</f>
        <v>0</v>
      </c>
      <c r="AF301" s="141">
        <f>ROUND(AE301*R301,0)</f>
        <v>0</v>
      </c>
      <c r="AH301" s="155"/>
      <c r="AJ301" s="4"/>
      <c r="AN301" s="146">
        <f>IF(LEFT(C301,1)="A",Y301,0)</f>
        <v>0</v>
      </c>
      <c r="AO301" s="146">
        <f>IF(LEFT(C301,1)="K",Y301,0)</f>
        <v>0</v>
      </c>
      <c r="AP301" s="146">
        <f>IF(LEFT(C301,1)="M",Y301,0)</f>
        <v>0</v>
      </c>
      <c r="AQ301" s="146"/>
      <c r="AR301" s="146">
        <f>IF(LEFT(M301,1)="A",AF301,0)</f>
        <v>0</v>
      </c>
      <c r="AS301" s="146">
        <f>IF(LEFT(M301,1)="K",AF301,0)</f>
        <v>0</v>
      </c>
      <c r="AT301" s="146">
        <f>IF(LEFT(M301,1)="M",AF301,0)</f>
        <v>0</v>
      </c>
      <c r="IU301"/>
      <c r="IV301"/>
    </row>
    <row r="302" spans="1:256" s="2" customFormat="1" ht="9" customHeight="1">
      <c r="A302" s="167" t="s">
        <v>718</v>
      </c>
      <c r="B302" s="168"/>
      <c r="C302" s="169"/>
      <c r="D302" s="171" t="s">
        <v>590</v>
      </c>
      <c r="E302" s="150" t="s">
        <v>709</v>
      </c>
      <c r="F302" s="171">
        <v>60</v>
      </c>
      <c r="G302" s="135">
        <f>(3*Mt___0+Int+Kr___0)/5</f>
        <v>75</v>
      </c>
      <c r="H302" s="135">
        <f>IF(G302&lt;50,450-6*G302,IF(G302&lt;100,250-2*G302,75-G302/4))</f>
        <v>100</v>
      </c>
      <c r="I302" s="136">
        <f>H302*F302/100</f>
        <v>60</v>
      </c>
      <c r="J302" s="131" t="s">
        <v>719</v>
      </c>
      <c r="K302" s="132"/>
      <c r="L302" s="132"/>
      <c r="M302" s="171" t="s">
        <v>590</v>
      </c>
      <c r="N302" s="150" t="s">
        <v>713</v>
      </c>
      <c r="O302" s="134">
        <v>15</v>
      </c>
      <c r="P302" s="135">
        <f>(3*Mt___0+Int+Schn___0)/5</f>
        <v>75</v>
      </c>
      <c r="Q302" s="135">
        <f>IF(P302&lt;50,450-6*P302,IF(P302&lt;100,250-2*P302,75-P302/4))</f>
        <v>100</v>
      </c>
      <c r="R302" s="136">
        <f>Q302*O302/100</f>
        <v>15</v>
      </c>
      <c r="T302" s="167" t="s">
        <v>718</v>
      </c>
      <c r="U302" s="137"/>
      <c r="V302" s="138"/>
      <c r="W302" s="153"/>
      <c r="X302" s="140">
        <f>IF(W302&gt;0,INDEX(lerntab___0,W302,1),0)</f>
        <v>0</v>
      </c>
      <c r="Y302" s="141">
        <f>ROUND(X302*I302,0)</f>
        <v>0</v>
      </c>
      <c r="Z302" s="155"/>
      <c r="AA302" s="131" t="s">
        <v>719</v>
      </c>
      <c r="AB302" s="137"/>
      <c r="AC302" s="138"/>
      <c r="AD302" s="139"/>
      <c r="AE302" s="140">
        <f>IF(AD302&gt;0,INDEX(lerntab___0,AD302,1),0)</f>
        <v>0</v>
      </c>
      <c r="AF302" s="141">
        <f>ROUND(AE302*R302,0)</f>
        <v>0</v>
      </c>
      <c r="AH302" s="155"/>
      <c r="AJ302" s="4"/>
      <c r="AN302" s="146">
        <f>IF(LEFT(C302,1)="A",Y302,0)</f>
        <v>0</v>
      </c>
      <c r="AO302" s="146">
        <f>IF(LEFT(C302,1)="K",Y302,0)</f>
        <v>0</v>
      </c>
      <c r="AP302" s="146">
        <f>IF(LEFT(C302,1)="M",Y302,0)</f>
        <v>0</v>
      </c>
      <c r="AQ302" s="146"/>
      <c r="AR302" s="146">
        <f>IF(LEFT(M302,1)="A",AF302,0)</f>
        <v>0</v>
      </c>
      <c r="AS302" s="146">
        <f>IF(LEFT(M302,1)="K",AF302,0)</f>
        <v>0</v>
      </c>
      <c r="AT302" s="146">
        <f>IF(LEFT(M302,1)="M",AF302,0)</f>
        <v>0</v>
      </c>
      <c r="IU302"/>
      <c r="IV302"/>
    </row>
    <row r="303" spans="1:256" s="2" customFormat="1" ht="9" customHeight="1">
      <c r="A303" s="167" t="s">
        <v>720</v>
      </c>
      <c r="B303" s="168"/>
      <c r="C303" s="169"/>
      <c r="D303" s="171" t="s">
        <v>590</v>
      </c>
      <c r="E303" s="150" t="s">
        <v>709</v>
      </c>
      <c r="F303" s="171">
        <v>100</v>
      </c>
      <c r="G303" s="135">
        <f>(3*Mt___0+Int+Kr___0)/5</f>
        <v>75</v>
      </c>
      <c r="H303" s="135">
        <f>IF(G303&lt;50,450-6*G303,IF(G303&lt;100,250-2*G303,75-G303/4))</f>
        <v>100</v>
      </c>
      <c r="I303" s="136">
        <f>H303*F303/100</f>
        <v>100</v>
      </c>
      <c r="J303" s="131" t="s">
        <v>721</v>
      </c>
      <c r="K303" s="132"/>
      <c r="L303" s="132"/>
      <c r="M303" s="171" t="s">
        <v>590</v>
      </c>
      <c r="N303" s="150" t="s">
        <v>713</v>
      </c>
      <c r="O303" s="134">
        <v>15</v>
      </c>
      <c r="P303" s="135">
        <f>(3*Mt___0+Int+Schn___0)/5</f>
        <v>75</v>
      </c>
      <c r="Q303" s="135">
        <f>IF(P303&lt;50,450-6*P303,IF(P303&lt;100,250-2*P303,75-P303/4))</f>
        <v>100</v>
      </c>
      <c r="R303" s="136">
        <f>Q303*O303/100</f>
        <v>15</v>
      </c>
      <c r="T303" s="167" t="s">
        <v>720</v>
      </c>
      <c r="U303" s="137"/>
      <c r="V303" s="138"/>
      <c r="W303" s="153"/>
      <c r="X303" s="140">
        <f>IF(W303&gt;0,INDEX(lerntab___0,W303,1),0)</f>
        <v>0</v>
      </c>
      <c r="Y303" s="141">
        <f>ROUND(X303*I303,0)</f>
        <v>0</v>
      </c>
      <c r="Z303" s="155"/>
      <c r="AA303" s="131" t="s">
        <v>721</v>
      </c>
      <c r="AB303" s="137"/>
      <c r="AC303" s="138"/>
      <c r="AD303" s="139"/>
      <c r="AE303" s="140">
        <f>IF(AD303&gt;0,INDEX(lerntab___0,AD303,1),0)</f>
        <v>0</v>
      </c>
      <c r="AF303" s="141">
        <f>ROUND(AE303*R303,0)</f>
        <v>0</v>
      </c>
      <c r="AH303" s="155"/>
      <c r="AJ303" s="4"/>
      <c r="AN303" s="146">
        <f>IF(LEFT(C303,1)="A",Y303,0)</f>
        <v>0</v>
      </c>
      <c r="AO303" s="146">
        <f>IF(LEFT(C303,1)="K",Y303,0)</f>
        <v>0</v>
      </c>
      <c r="AP303" s="146">
        <f>IF(LEFT(C303,1)="M",Y303,0)</f>
        <v>0</v>
      </c>
      <c r="AQ303" s="146"/>
      <c r="AR303" s="146">
        <f>IF(LEFT(M303,1)="A",AF303,0)</f>
        <v>0</v>
      </c>
      <c r="AS303" s="146">
        <f>IF(LEFT(M303,1)="K",AF303,0)</f>
        <v>0</v>
      </c>
      <c r="AT303" s="146">
        <f>IF(LEFT(M303,1)="M",AF303,0)</f>
        <v>0</v>
      </c>
      <c r="IU303"/>
      <c r="IV303"/>
    </row>
    <row r="304" spans="1:256" s="2" customFormat="1" ht="9" customHeight="1">
      <c r="A304" s="167" t="s">
        <v>722</v>
      </c>
      <c r="B304" s="168"/>
      <c r="C304" s="169"/>
      <c r="D304" s="171" t="s">
        <v>590</v>
      </c>
      <c r="E304" s="150" t="s">
        <v>709</v>
      </c>
      <c r="F304" s="171">
        <v>30</v>
      </c>
      <c r="G304" s="135">
        <f>(3*Mt___0+Int+Kr___0)/5</f>
        <v>75</v>
      </c>
      <c r="H304" s="135">
        <f>IF(G304&lt;50,450-6*G304,IF(G304&lt;100,250-2*G304,75-G304/4))</f>
        <v>100</v>
      </c>
      <c r="I304" s="136">
        <f>H304*F304/100</f>
        <v>30</v>
      </c>
      <c r="J304" s="131" t="s">
        <v>723</v>
      </c>
      <c r="K304" s="132"/>
      <c r="L304" s="132"/>
      <c r="M304" s="171" t="s">
        <v>590</v>
      </c>
      <c r="N304" s="150" t="s">
        <v>713</v>
      </c>
      <c r="O304" s="134">
        <v>15</v>
      </c>
      <c r="P304" s="135">
        <f>(3*Mt___0+Int+Schn___0)/5</f>
        <v>75</v>
      </c>
      <c r="Q304" s="135">
        <f>IF(P304&lt;50,450-6*P304,IF(P304&lt;100,250-2*P304,75-P304/4))</f>
        <v>100</v>
      </c>
      <c r="R304" s="136">
        <f>Q304*O304/100</f>
        <v>15</v>
      </c>
      <c r="T304" s="167" t="s">
        <v>722</v>
      </c>
      <c r="U304" s="137"/>
      <c r="V304" s="138"/>
      <c r="W304" s="153"/>
      <c r="X304" s="140">
        <f>IF(W304&gt;0,INDEX(lerntab___0,W304,1),0)</f>
        <v>0</v>
      </c>
      <c r="Y304" s="141">
        <f>ROUND(X304*I304,0)</f>
        <v>0</v>
      </c>
      <c r="Z304" s="155"/>
      <c r="AA304" s="131" t="s">
        <v>723</v>
      </c>
      <c r="AB304" s="137"/>
      <c r="AC304" s="138"/>
      <c r="AD304" s="139"/>
      <c r="AE304" s="140">
        <f>IF(AD304&gt;0,INDEX(lerntab___0,AD304,1),0)</f>
        <v>0</v>
      </c>
      <c r="AF304" s="141">
        <f>ROUND(AE304*R304,0)</f>
        <v>0</v>
      </c>
      <c r="AH304" s="155"/>
      <c r="AJ304" s="4"/>
      <c r="AN304" s="146">
        <f>IF(LEFT(C304,1)="A",Y304,0)</f>
        <v>0</v>
      </c>
      <c r="AO304" s="146">
        <f>IF(LEFT(C304,1)="K",Y304,0)</f>
        <v>0</v>
      </c>
      <c r="AP304" s="146">
        <f>IF(LEFT(C304,1)="M",Y304,0)</f>
        <v>0</v>
      </c>
      <c r="AQ304" s="146"/>
      <c r="AR304" s="146">
        <f>IF(LEFT(M304,1)="A",AF304,0)</f>
        <v>0</v>
      </c>
      <c r="AS304" s="146">
        <f>IF(LEFT(M304,1)="K",AF304,0)</f>
        <v>0</v>
      </c>
      <c r="AT304" s="146">
        <f>IF(LEFT(M304,1)="M",AF304,0)</f>
        <v>0</v>
      </c>
      <c r="IU304"/>
      <c r="IV304"/>
    </row>
    <row r="305" spans="1:256" s="2" customFormat="1" ht="9" customHeight="1">
      <c r="A305" s="167" t="s">
        <v>724</v>
      </c>
      <c r="B305" s="168"/>
      <c r="C305" s="169"/>
      <c r="D305" s="171" t="s">
        <v>590</v>
      </c>
      <c r="E305" s="150" t="s">
        <v>709</v>
      </c>
      <c r="F305" s="171">
        <v>60</v>
      </c>
      <c r="G305" s="135">
        <f>(3*Mt___0+Int+Kr___0)/5</f>
        <v>75</v>
      </c>
      <c r="H305" s="135">
        <f>IF(G305&lt;50,450-6*G305,IF(G305&lt;100,250-2*G305,75-G305/4))</f>
        <v>100</v>
      </c>
      <c r="I305" s="136">
        <f>H305*F305/100</f>
        <v>60</v>
      </c>
      <c r="J305" s="131" t="s">
        <v>725</v>
      </c>
      <c r="K305" s="132"/>
      <c r="L305" s="132"/>
      <c r="M305" s="171" t="s">
        <v>590</v>
      </c>
      <c r="N305" s="150" t="s">
        <v>713</v>
      </c>
      <c r="O305" s="134">
        <v>15</v>
      </c>
      <c r="P305" s="135">
        <f>(3*Mt___0+Int+Schn___0)/5</f>
        <v>75</v>
      </c>
      <c r="Q305" s="135">
        <f>IF(P305&lt;50,450-6*P305,IF(P305&lt;100,250-2*P305,75-P305/4))</f>
        <v>100</v>
      </c>
      <c r="R305" s="136">
        <f>Q305*O305/100</f>
        <v>15</v>
      </c>
      <c r="T305" s="167" t="s">
        <v>724</v>
      </c>
      <c r="U305" s="137"/>
      <c r="V305" s="138"/>
      <c r="W305" s="153"/>
      <c r="X305" s="140">
        <f>IF(W305&gt;0,INDEX(lerntab___0,W305,1),0)</f>
        <v>0</v>
      </c>
      <c r="Y305" s="141">
        <f>ROUND(X305*I305,0)</f>
        <v>0</v>
      </c>
      <c r="Z305" s="155"/>
      <c r="AA305" s="131" t="s">
        <v>725</v>
      </c>
      <c r="AB305" s="137"/>
      <c r="AC305" s="138"/>
      <c r="AD305" s="139"/>
      <c r="AE305" s="140">
        <f>IF(AD305&gt;0,INDEX(lerntab___0,AD305,1),0)</f>
        <v>0</v>
      </c>
      <c r="AF305" s="141">
        <f>ROUND(AE305*R305,0)</f>
        <v>0</v>
      </c>
      <c r="AH305" s="155"/>
      <c r="AJ305" s="4"/>
      <c r="AN305" s="146">
        <f>IF(LEFT(C305,1)="A",Y305,0)</f>
        <v>0</v>
      </c>
      <c r="AO305" s="146">
        <f>IF(LEFT(C305,1)="K",Y305,0)</f>
        <v>0</v>
      </c>
      <c r="AP305" s="146">
        <f>IF(LEFT(C305,1)="M",Y305,0)</f>
        <v>0</v>
      </c>
      <c r="AQ305" s="146"/>
      <c r="AR305" s="146">
        <f>IF(LEFT(M305,1)="A",AF305,0)</f>
        <v>0</v>
      </c>
      <c r="AS305" s="146">
        <f>IF(LEFT(M305,1)="K",AF305,0)</f>
        <v>0</v>
      </c>
      <c r="AT305" s="146">
        <f>IF(LEFT(M305,1)="M",AF305,0)</f>
        <v>0</v>
      </c>
      <c r="IU305"/>
      <c r="IV305"/>
    </row>
    <row r="306" spans="1:256" s="2" customFormat="1" ht="9" customHeight="1">
      <c r="A306" s="167" t="s">
        <v>726</v>
      </c>
      <c r="B306" s="168"/>
      <c r="C306" s="169"/>
      <c r="D306" s="171" t="s">
        <v>590</v>
      </c>
      <c r="E306" s="150" t="s">
        <v>709</v>
      </c>
      <c r="F306" s="171">
        <v>40</v>
      </c>
      <c r="G306" s="135">
        <f>(3*Mt___0+Int+Kr___0)/5</f>
        <v>75</v>
      </c>
      <c r="H306" s="135">
        <f>IF(G306&lt;50,450-6*G306,IF(G306&lt;100,250-2*G306,75-G306/4))</f>
        <v>100</v>
      </c>
      <c r="I306" s="136">
        <f>H306*F306/100</f>
        <v>40</v>
      </c>
      <c r="J306" s="131" t="s">
        <v>727</v>
      </c>
      <c r="K306" s="132"/>
      <c r="L306" s="132"/>
      <c r="M306" s="171" t="s">
        <v>590</v>
      </c>
      <c r="N306" s="150" t="s">
        <v>713</v>
      </c>
      <c r="O306" s="134">
        <v>15</v>
      </c>
      <c r="P306" s="135">
        <f>(3*Mt___0+Int+Schn___0)/5</f>
        <v>75</v>
      </c>
      <c r="Q306" s="135">
        <f>IF(P306&lt;50,450-6*P306,IF(P306&lt;100,250-2*P306,75-P306/4))</f>
        <v>100</v>
      </c>
      <c r="R306" s="136">
        <f>Q306*O306/100</f>
        <v>15</v>
      </c>
      <c r="T306" s="167" t="s">
        <v>726</v>
      </c>
      <c r="U306" s="137"/>
      <c r="V306" s="138"/>
      <c r="W306" s="153"/>
      <c r="X306" s="140">
        <f>IF(W306&gt;0,INDEX(lerntab___0,W306,1),0)</f>
        <v>0</v>
      </c>
      <c r="Y306" s="141">
        <f>ROUND(X306*I306,0)</f>
        <v>0</v>
      </c>
      <c r="Z306" s="155"/>
      <c r="AA306" s="131" t="s">
        <v>727</v>
      </c>
      <c r="AB306" s="137"/>
      <c r="AC306" s="138"/>
      <c r="AD306" s="139"/>
      <c r="AE306" s="140">
        <f>IF(AD306&gt;0,INDEX(lerntab___0,AD306,1),0)</f>
        <v>0</v>
      </c>
      <c r="AF306" s="141">
        <f>ROUND(AE306*R306,0)</f>
        <v>0</v>
      </c>
      <c r="AH306" s="155"/>
      <c r="AJ306" s="4"/>
      <c r="AN306" s="146">
        <f>IF(LEFT(C306,1)="A",Y306,0)</f>
        <v>0</v>
      </c>
      <c r="AO306" s="146">
        <f>IF(LEFT(C306,1)="K",Y306,0)</f>
        <v>0</v>
      </c>
      <c r="AP306" s="146">
        <f>IF(LEFT(C306,1)="M",Y306,0)</f>
        <v>0</v>
      </c>
      <c r="AQ306" s="146"/>
      <c r="AR306" s="146">
        <f>IF(LEFT(M306,1)="A",AF306,0)</f>
        <v>0</v>
      </c>
      <c r="AS306" s="146">
        <f>IF(LEFT(M306,1)="K",AF306,0)</f>
        <v>0</v>
      </c>
      <c r="AT306" s="146">
        <f>IF(LEFT(M306,1)="M",AF306,0)</f>
        <v>0</v>
      </c>
      <c r="IU306"/>
      <c r="IV306"/>
    </row>
    <row r="307" spans="1:256" s="2" customFormat="1" ht="9" customHeight="1">
      <c r="A307" s="167" t="s">
        <v>728</v>
      </c>
      <c r="B307" s="168"/>
      <c r="C307" s="169"/>
      <c r="D307" s="171" t="s">
        <v>590</v>
      </c>
      <c r="E307" s="150" t="s">
        <v>709</v>
      </c>
      <c r="F307" s="171">
        <v>40</v>
      </c>
      <c r="G307" s="135">
        <f>(3*Mt___0+Int+Kr___0)/5</f>
        <v>75</v>
      </c>
      <c r="H307" s="135">
        <f>IF(G307&lt;50,450-6*G307,IF(G307&lt;100,250-2*G307,75-G307/4))</f>
        <v>100</v>
      </c>
      <c r="I307" s="136">
        <f>H307*F307/100</f>
        <v>40</v>
      </c>
      <c r="J307" s="131" t="s">
        <v>729</v>
      </c>
      <c r="K307" s="132"/>
      <c r="L307" s="132"/>
      <c r="M307" s="171" t="s">
        <v>590</v>
      </c>
      <c r="N307" s="150" t="s">
        <v>713</v>
      </c>
      <c r="O307" s="134">
        <v>15</v>
      </c>
      <c r="P307" s="135">
        <f>(3*Mt___0+Int+Schn___0)/5</f>
        <v>75</v>
      </c>
      <c r="Q307" s="135">
        <f>IF(P307&lt;50,450-6*P307,IF(P307&lt;100,250-2*P307,75-P307/4))</f>
        <v>100</v>
      </c>
      <c r="R307" s="136">
        <f>Q307*O307/100</f>
        <v>15</v>
      </c>
      <c r="T307" s="167" t="s">
        <v>728</v>
      </c>
      <c r="U307" s="137"/>
      <c r="V307" s="138"/>
      <c r="W307" s="153"/>
      <c r="X307" s="140">
        <f>IF(W307&gt;0,INDEX(lerntab___0,W307,1),0)</f>
        <v>0</v>
      </c>
      <c r="Y307" s="141">
        <f>ROUND(X307*I307,0)</f>
        <v>0</v>
      </c>
      <c r="Z307" s="155"/>
      <c r="AA307" s="131" t="s">
        <v>729</v>
      </c>
      <c r="AB307" s="137"/>
      <c r="AC307" s="138"/>
      <c r="AD307" s="139"/>
      <c r="AE307" s="140">
        <f>IF(AD307&gt;0,INDEX(lerntab___0,AD307,1),0)</f>
        <v>0</v>
      </c>
      <c r="AF307" s="141">
        <f>ROUND(AE307*R307,0)</f>
        <v>0</v>
      </c>
      <c r="AH307" s="155"/>
      <c r="AJ307" s="4"/>
      <c r="AN307" s="146">
        <f>IF(LEFT(C307,1)="A",Y307,0)</f>
        <v>0</v>
      </c>
      <c r="AO307" s="146">
        <f>IF(LEFT(C307,1)="K",Y307,0)</f>
        <v>0</v>
      </c>
      <c r="AP307" s="146">
        <f>IF(LEFT(C307,1)="M",Y307,0)</f>
        <v>0</v>
      </c>
      <c r="AQ307" s="146"/>
      <c r="AR307" s="146">
        <f>IF(LEFT(M307,1)="A",AF307,0)</f>
        <v>0</v>
      </c>
      <c r="AS307" s="146">
        <f>IF(LEFT(M307,1)="K",AF307,0)</f>
        <v>0</v>
      </c>
      <c r="AT307" s="146">
        <f>IF(LEFT(M307,1)="M",AF307,0)</f>
        <v>0</v>
      </c>
      <c r="IU307"/>
      <c r="IV307"/>
    </row>
    <row r="308" spans="1:256" s="2" customFormat="1" ht="9" customHeight="1">
      <c r="A308" s="167" t="s">
        <v>730</v>
      </c>
      <c r="B308" s="168"/>
      <c r="C308" s="169"/>
      <c r="D308" s="171" t="s">
        <v>590</v>
      </c>
      <c r="E308" s="150" t="s">
        <v>709</v>
      </c>
      <c r="F308" s="171">
        <v>60</v>
      </c>
      <c r="G308" s="135">
        <f>(3*Mt___0+Int+Kr___0)/5</f>
        <v>75</v>
      </c>
      <c r="H308" s="135">
        <f>IF(G308&lt;50,450-6*G308,IF(G308&lt;100,250-2*G308,75-G308/4))</f>
        <v>100</v>
      </c>
      <c r="I308" s="136">
        <f>H308*F308/100</f>
        <v>60</v>
      </c>
      <c r="J308" s="131" t="s">
        <v>731</v>
      </c>
      <c r="K308" s="132"/>
      <c r="L308" s="132"/>
      <c r="M308" s="171" t="s">
        <v>590</v>
      </c>
      <c r="N308" s="150" t="s">
        <v>713</v>
      </c>
      <c r="O308" s="134">
        <v>15</v>
      </c>
      <c r="P308" s="135">
        <f>(3*Mt___0+Int+Schn___0)/5</f>
        <v>75</v>
      </c>
      <c r="Q308" s="135">
        <f>IF(P308&lt;50,450-6*P308,IF(P308&lt;100,250-2*P308,75-P308/4))</f>
        <v>100</v>
      </c>
      <c r="R308" s="136">
        <f>Q308*O308/100</f>
        <v>15</v>
      </c>
      <c r="T308" s="167" t="s">
        <v>730</v>
      </c>
      <c r="U308" s="137"/>
      <c r="V308" s="138"/>
      <c r="W308" s="153"/>
      <c r="X308" s="140">
        <f>IF(W308&gt;0,INDEX(lerntab___0,W308,1),0)</f>
        <v>0</v>
      </c>
      <c r="Y308" s="141">
        <f>ROUND(X308*I308,0)</f>
        <v>0</v>
      </c>
      <c r="Z308" s="155"/>
      <c r="AA308" s="131" t="s">
        <v>731</v>
      </c>
      <c r="AB308" s="137"/>
      <c r="AC308" s="138"/>
      <c r="AD308" s="139"/>
      <c r="AE308" s="140">
        <f>IF(AD308&gt;0,INDEX(lerntab___0,AD308,1),0)</f>
        <v>0</v>
      </c>
      <c r="AF308" s="141">
        <f>ROUND(AE308*R308,0)</f>
        <v>0</v>
      </c>
      <c r="AH308" s="155"/>
      <c r="AJ308" s="4"/>
      <c r="AN308" s="146">
        <f>IF(LEFT(C308,1)="A",Y308,0)</f>
        <v>0</v>
      </c>
      <c r="AO308" s="146">
        <f>IF(LEFT(C308,1)="K",Y308,0)</f>
        <v>0</v>
      </c>
      <c r="AP308" s="146">
        <f>IF(LEFT(C308,1)="M",Y308,0)</f>
        <v>0</v>
      </c>
      <c r="AQ308" s="146"/>
      <c r="AR308" s="146">
        <f>IF(LEFT(M308,1)="A",AF308,0)</f>
        <v>0</v>
      </c>
      <c r="AS308" s="146">
        <f>IF(LEFT(M308,1)="K",AF308,0)</f>
        <v>0</v>
      </c>
      <c r="AT308" s="146">
        <f>IF(LEFT(M308,1)="M",AF308,0)</f>
        <v>0</v>
      </c>
      <c r="IU308"/>
      <c r="IV308"/>
    </row>
    <row r="309" spans="1:256" s="2" customFormat="1" ht="9" customHeight="1">
      <c r="A309" s="167" t="s">
        <v>732</v>
      </c>
      <c r="B309" s="168"/>
      <c r="C309" s="169"/>
      <c r="D309" s="171" t="s">
        <v>590</v>
      </c>
      <c r="E309" s="150" t="s">
        <v>709</v>
      </c>
      <c r="F309" s="171">
        <v>150</v>
      </c>
      <c r="G309" s="135">
        <f>(3*Mt___0+Int+Kr___0)/5</f>
        <v>75</v>
      </c>
      <c r="H309" s="135">
        <f>IF(G309&lt;50,450-6*G309,IF(G309&lt;100,250-2*G309,75-G309/4))</f>
        <v>100</v>
      </c>
      <c r="I309" s="136">
        <f>H309*F309/100</f>
        <v>150</v>
      </c>
      <c r="J309" s="197" t="s">
        <v>733</v>
      </c>
      <c r="K309" s="182"/>
      <c r="L309" s="182"/>
      <c r="M309" s="566"/>
      <c r="N309" s="212"/>
      <c r="O309" s="212"/>
      <c r="P309" s="199"/>
      <c r="Q309" s="199"/>
      <c r="R309" s="130"/>
      <c r="T309" s="167" t="s">
        <v>732</v>
      </c>
      <c r="U309" s="137"/>
      <c r="V309" s="138"/>
      <c r="W309" s="153"/>
      <c r="X309" s="140">
        <f>IF(W309&gt;0,INDEX(lerntab___0,W309,1),0)</f>
        <v>0</v>
      </c>
      <c r="Y309" s="141">
        <f>ROUND(X309*I309,0)</f>
        <v>0</v>
      </c>
      <c r="Z309" s="155"/>
      <c r="AA309" s="197" t="s">
        <v>733</v>
      </c>
      <c r="AB309" s="137"/>
      <c r="AC309" s="211"/>
      <c r="AD309" s="212"/>
      <c r="AE309" s="182"/>
      <c r="AF309" s="183"/>
      <c r="AH309" s="155"/>
      <c r="AJ309" s="4"/>
      <c r="AN309" s="146">
        <f>IF(LEFT(C309,1)="A",Y309,0)</f>
        <v>0</v>
      </c>
      <c r="AO309" s="146">
        <f>IF(LEFT(C309,1)="K",Y309,0)</f>
        <v>0</v>
      </c>
      <c r="AP309" s="146">
        <f>IF(LEFT(C309,1)="M",Y309,0)</f>
        <v>0</v>
      </c>
      <c r="AQ309" s="146"/>
      <c r="AR309" s="146">
        <f>IF(LEFT(M309,1)="A",AF309,0)</f>
        <v>0</v>
      </c>
      <c r="AS309" s="146">
        <f>IF(LEFT(M309,1)="K",AF309,0)</f>
        <v>0</v>
      </c>
      <c r="AT309" s="146">
        <f>IF(LEFT(M309,1)="M",AF309,0)</f>
        <v>0</v>
      </c>
      <c r="IU309"/>
      <c r="IV309"/>
    </row>
    <row r="310" spans="1:256" s="2" customFormat="1" ht="9" customHeight="1">
      <c r="A310" s="167" t="s">
        <v>734</v>
      </c>
      <c r="B310" s="168"/>
      <c r="C310" s="169"/>
      <c r="D310" s="171" t="s">
        <v>590</v>
      </c>
      <c r="E310" s="150" t="s">
        <v>709</v>
      </c>
      <c r="F310" s="171">
        <v>60</v>
      </c>
      <c r="G310" s="135">
        <f>(3*Mt___0+Int+Kr___0)/5</f>
        <v>75</v>
      </c>
      <c r="H310" s="135">
        <f>IF(G310&lt;50,450-6*G310,IF(G310&lt;100,250-2*G310,75-G310/4))</f>
        <v>100</v>
      </c>
      <c r="I310" s="136">
        <f>H310*F310/100</f>
        <v>60</v>
      </c>
      <c r="J310" s="131" t="s">
        <v>735</v>
      </c>
      <c r="K310" s="132"/>
      <c r="L310" s="132"/>
      <c r="M310" s="171" t="s">
        <v>590</v>
      </c>
      <c r="N310" s="150">
        <v>-10</v>
      </c>
      <c r="O310" s="134">
        <v>70</v>
      </c>
      <c r="P310" s="135">
        <f>(3*Mt___0+Int+Schn___0)/5</f>
        <v>75</v>
      </c>
      <c r="Q310" s="135">
        <f>IF(P310&lt;50,450-6*P310,IF(P310&lt;100,250-2*P310,75-P310/4))</f>
        <v>100</v>
      </c>
      <c r="R310" s="136">
        <f>Q310*O310/100</f>
        <v>70</v>
      </c>
      <c r="T310" s="167" t="s">
        <v>734</v>
      </c>
      <c r="U310" s="137"/>
      <c r="V310" s="138"/>
      <c r="W310" s="153"/>
      <c r="X310" s="140">
        <f>IF(W310&gt;0,INDEX(lerntab___0,W310,1),0)</f>
        <v>0</v>
      </c>
      <c r="Y310" s="141">
        <f>ROUND(X310*I310,0)</f>
        <v>0</v>
      </c>
      <c r="Z310" s="155"/>
      <c r="AA310" s="131" t="s">
        <v>735</v>
      </c>
      <c r="AB310" s="137"/>
      <c r="AC310" s="138"/>
      <c r="AD310" s="139"/>
      <c r="AE310" s="140">
        <f>IF(AD310&gt;0,INDEX(lerntab___0,AD310,1),0)</f>
        <v>0</v>
      </c>
      <c r="AF310" s="141">
        <f>ROUND(AE310*R310,0)</f>
        <v>0</v>
      </c>
      <c r="AH310" s="155"/>
      <c r="AJ310" s="4"/>
      <c r="AN310" s="146">
        <f>IF(LEFT(C310,1)="A",Y310,0)</f>
        <v>0</v>
      </c>
      <c r="AO310" s="146">
        <f>IF(LEFT(C310,1)="K",Y310,0)</f>
        <v>0</v>
      </c>
      <c r="AP310" s="146">
        <f>IF(LEFT(C310,1)="M",Y310,0)</f>
        <v>0</v>
      </c>
      <c r="AQ310" s="146"/>
      <c r="AR310" s="146">
        <f>IF(LEFT(M310,1)="A",AF310,0)</f>
        <v>0</v>
      </c>
      <c r="AS310" s="146">
        <f>IF(LEFT(M310,1)="K",AF310,0)</f>
        <v>0</v>
      </c>
      <c r="AT310" s="146">
        <f>IF(LEFT(M310,1)="M",AF310,0)</f>
        <v>0</v>
      </c>
      <c r="IU310"/>
      <c r="IV310"/>
    </row>
    <row r="311" spans="1:256" s="2" customFormat="1" ht="9" customHeight="1">
      <c r="A311" s="167" t="s">
        <v>736</v>
      </c>
      <c r="B311" s="168"/>
      <c r="C311" s="169"/>
      <c r="D311" s="171" t="s">
        <v>590</v>
      </c>
      <c r="E311" s="150" t="s">
        <v>709</v>
      </c>
      <c r="F311" s="171">
        <v>120</v>
      </c>
      <c r="G311" s="135">
        <f>(3*Mt___0+Int+Kr___0)/5</f>
        <v>75</v>
      </c>
      <c r="H311" s="135">
        <f>IF(G311&lt;50,450-6*G311,IF(G311&lt;100,250-2*G311,75-G311/4))</f>
        <v>100</v>
      </c>
      <c r="I311" s="136">
        <f>H311*F311/100</f>
        <v>120</v>
      </c>
      <c r="J311" s="131" t="s">
        <v>737</v>
      </c>
      <c r="K311" s="132"/>
      <c r="L311" s="132"/>
      <c r="M311" s="171" t="s">
        <v>590</v>
      </c>
      <c r="N311" s="150">
        <v>-10</v>
      </c>
      <c r="O311" s="134">
        <v>80</v>
      </c>
      <c r="P311" s="135">
        <f>(3*Mt___0+Int+Schn___0)/5</f>
        <v>75</v>
      </c>
      <c r="Q311" s="135">
        <f>IF(P311&lt;50,450-6*P311,IF(P311&lt;100,250-2*P311,75-P311/4))</f>
        <v>100</v>
      </c>
      <c r="R311" s="136">
        <f>Q311*O311/100</f>
        <v>80</v>
      </c>
      <c r="T311" s="167" t="s">
        <v>736</v>
      </c>
      <c r="U311" s="137"/>
      <c r="V311" s="138"/>
      <c r="W311" s="153"/>
      <c r="X311" s="140">
        <f>IF(W311&gt;0,INDEX(lerntab___0,W311,1),0)</f>
        <v>0</v>
      </c>
      <c r="Y311" s="141">
        <f>ROUND(X311*I311,0)</f>
        <v>0</v>
      </c>
      <c r="Z311" s="155"/>
      <c r="AA311" s="131" t="s">
        <v>737</v>
      </c>
      <c r="AB311" s="137"/>
      <c r="AC311" s="138"/>
      <c r="AD311" s="139"/>
      <c r="AE311" s="140">
        <f>IF(AD311&gt;0,INDEX(lerntab___0,AD311,1),0)</f>
        <v>0</v>
      </c>
      <c r="AF311" s="141">
        <f>ROUND(AE311*R311,0)</f>
        <v>0</v>
      </c>
      <c r="AH311" s="155"/>
      <c r="AJ311" s="4"/>
      <c r="AN311" s="146">
        <f>IF(LEFT(C311,1)="A",Y311,0)</f>
        <v>0</v>
      </c>
      <c r="AO311" s="146">
        <f>IF(LEFT(C311,1)="K",Y311,0)</f>
        <v>0</v>
      </c>
      <c r="AP311" s="146">
        <f>IF(LEFT(C311,1)="M",Y311,0)</f>
        <v>0</v>
      </c>
      <c r="AQ311" s="146"/>
      <c r="AR311" s="146">
        <f>IF(LEFT(M311,1)="A",AF311,0)</f>
        <v>0</v>
      </c>
      <c r="AS311" s="146">
        <f>IF(LEFT(M311,1)="K",AF311,0)</f>
        <v>0</v>
      </c>
      <c r="AT311" s="146">
        <f>IF(LEFT(M311,1)="M",AF311,0)</f>
        <v>0</v>
      </c>
      <c r="IU311"/>
      <c r="IV311"/>
    </row>
    <row r="312" spans="1:256" s="2" customFormat="1" ht="9" customHeight="1">
      <c r="A312" s="167" t="s">
        <v>738</v>
      </c>
      <c r="B312" s="168"/>
      <c r="C312" s="169"/>
      <c r="D312" s="171" t="s">
        <v>590</v>
      </c>
      <c r="E312" s="150" t="s">
        <v>709</v>
      </c>
      <c r="F312" s="171">
        <v>80</v>
      </c>
      <c r="G312" s="135">
        <f>(3*Mt___0+Int+Kr___0)/5</f>
        <v>75</v>
      </c>
      <c r="H312" s="135">
        <f>IF(G312&lt;50,450-6*G312,IF(G312&lt;100,250-2*G312,75-G312/4))</f>
        <v>100</v>
      </c>
      <c r="I312" s="136">
        <f>H312*F312/100</f>
        <v>80</v>
      </c>
      <c r="J312" s="131" t="s">
        <v>739</v>
      </c>
      <c r="K312" s="132"/>
      <c r="L312" s="132"/>
      <c r="M312" s="171" t="s">
        <v>590</v>
      </c>
      <c r="N312" s="150">
        <v>-10</v>
      </c>
      <c r="O312" s="134">
        <v>90</v>
      </c>
      <c r="P312" s="135">
        <f>(3*Mt___0+Int+Schn___0)/5</f>
        <v>75</v>
      </c>
      <c r="Q312" s="135">
        <f>IF(P312&lt;50,450-6*P312,IF(P312&lt;100,250-2*P312,75-P312/4))</f>
        <v>100</v>
      </c>
      <c r="R312" s="136">
        <f>Q312*O312/100</f>
        <v>90</v>
      </c>
      <c r="T312" s="167" t="s">
        <v>738</v>
      </c>
      <c r="U312" s="137"/>
      <c r="V312" s="138"/>
      <c r="W312" s="153"/>
      <c r="X312" s="140">
        <f>IF(W312&gt;0,INDEX(lerntab___0,W312,1),0)</f>
        <v>0</v>
      </c>
      <c r="Y312" s="141">
        <f>ROUND(X312*I312,0)</f>
        <v>0</v>
      </c>
      <c r="Z312" s="155"/>
      <c r="AA312" s="131" t="s">
        <v>739</v>
      </c>
      <c r="AB312" s="137"/>
      <c r="AC312" s="138"/>
      <c r="AD312" s="139"/>
      <c r="AE312" s="140">
        <f>IF(AD312&gt;0,INDEX(lerntab___0,AD312,1),0)</f>
        <v>0</v>
      </c>
      <c r="AF312" s="141">
        <f>ROUND(AE312*R312,0)</f>
        <v>0</v>
      </c>
      <c r="AH312" s="155"/>
      <c r="AJ312" s="4"/>
      <c r="AN312" s="146">
        <f>IF(LEFT(C312,1)="A",Y312,0)</f>
        <v>0</v>
      </c>
      <c r="AO312" s="146">
        <f>IF(LEFT(C312,1)="K",Y312,0)</f>
        <v>0</v>
      </c>
      <c r="AP312" s="146">
        <f>IF(LEFT(C312,1)="M",Y312,0)</f>
        <v>0</v>
      </c>
      <c r="AQ312" s="146"/>
      <c r="AR312" s="146">
        <f>IF(LEFT(M312,1)="A",AF312,0)</f>
        <v>0</v>
      </c>
      <c r="AS312" s="146">
        <f>IF(LEFT(M312,1)="K",AF312,0)</f>
        <v>0</v>
      </c>
      <c r="AT312" s="146">
        <f>IF(LEFT(M312,1)="M",AF312,0)</f>
        <v>0</v>
      </c>
      <c r="IU312"/>
      <c r="IV312"/>
    </row>
    <row r="313" spans="1:256" s="2" customFormat="1" ht="9" customHeight="1">
      <c r="A313" s="167" t="s">
        <v>740</v>
      </c>
      <c r="B313" s="168"/>
      <c r="C313" s="169"/>
      <c r="D313" s="171" t="s">
        <v>590</v>
      </c>
      <c r="E313" s="150" t="s">
        <v>709</v>
      </c>
      <c r="F313" s="171">
        <v>80</v>
      </c>
      <c r="G313" s="135">
        <f>(3*Mt___0+Int+Kr___0)/5</f>
        <v>75</v>
      </c>
      <c r="H313" s="135">
        <f>IF(G313&lt;50,450-6*G313,IF(G313&lt;100,250-2*G313,75-G313/4))</f>
        <v>100</v>
      </c>
      <c r="I313" s="136">
        <f>H313*F313/100</f>
        <v>80</v>
      </c>
      <c r="J313" s="131" t="s">
        <v>741</v>
      </c>
      <c r="K313" s="132"/>
      <c r="L313" s="132"/>
      <c r="M313" s="171" t="s">
        <v>590</v>
      </c>
      <c r="N313" s="150">
        <v>30</v>
      </c>
      <c r="O313" s="134">
        <v>100</v>
      </c>
      <c r="P313" s="135">
        <f>(3*Mt___0+Int+Schn___0)/5</f>
        <v>75</v>
      </c>
      <c r="Q313" s="135">
        <f>IF(P313&lt;50,450-6*P313,IF(P313&lt;100,250-2*P313,75-P313/4))</f>
        <v>100</v>
      </c>
      <c r="R313" s="136">
        <f>Q313*O313/100</f>
        <v>100</v>
      </c>
      <c r="T313" s="167" t="s">
        <v>740</v>
      </c>
      <c r="U313" s="137"/>
      <c r="V313" s="138"/>
      <c r="W313" s="153"/>
      <c r="X313" s="140">
        <f>IF(W313&gt;0,INDEX(lerntab___0,W313,1),0)</f>
        <v>0</v>
      </c>
      <c r="Y313" s="141">
        <f>ROUND(X313*I313,0)</f>
        <v>0</v>
      </c>
      <c r="Z313" s="155"/>
      <c r="AA313" s="131" t="s">
        <v>741</v>
      </c>
      <c r="AB313" s="137"/>
      <c r="AC313" s="138"/>
      <c r="AD313" s="139"/>
      <c r="AE313" s="140">
        <f>IF(AD313&gt;0,INDEX(lerntab___0,AD313,1),0)</f>
        <v>0</v>
      </c>
      <c r="AF313" s="141">
        <f>ROUND(AE313*R313,0)</f>
        <v>0</v>
      </c>
      <c r="AH313" s="155"/>
      <c r="AJ313" s="4"/>
      <c r="AN313" s="146">
        <f>IF(LEFT(C313,1)="A",Y313,0)</f>
        <v>0</v>
      </c>
      <c r="AO313" s="146">
        <f>IF(LEFT(C313,1)="K",Y313,0)</f>
        <v>0</v>
      </c>
      <c r="AP313" s="146">
        <f>IF(LEFT(C313,1)="M",Y313,0)</f>
        <v>0</v>
      </c>
      <c r="AQ313" s="146"/>
      <c r="AR313" s="146">
        <f>IF(LEFT(M313,1)="A",AF313,0)</f>
        <v>0</v>
      </c>
      <c r="AS313" s="146">
        <f>IF(LEFT(M313,1)="K",AF313,0)</f>
        <v>0</v>
      </c>
      <c r="AT313" s="146">
        <f>IF(LEFT(M313,1)="M",AF313,0)</f>
        <v>0</v>
      </c>
      <c r="IU313"/>
      <c r="IV313"/>
    </row>
    <row r="314" spans="1:256" s="2" customFormat="1" ht="9" customHeight="1">
      <c r="A314" s="611" t="s">
        <v>742</v>
      </c>
      <c r="B314" s="613"/>
      <c r="C314" s="663"/>
      <c r="D314" s="171" t="s">
        <v>590</v>
      </c>
      <c r="E314" s="150" t="s">
        <v>709</v>
      </c>
      <c r="F314" s="664">
        <v>120</v>
      </c>
      <c r="G314" s="220">
        <f>(3*Mt___0+Int+Kr___0)/5</f>
        <v>75</v>
      </c>
      <c r="H314" s="220">
        <f>IF(G314&lt;50,450-6*G314,IF(G314&lt;100,250-2*G314,75-G314/4))</f>
        <v>100</v>
      </c>
      <c r="I314" s="221">
        <f>H314*F314/100</f>
        <v>120</v>
      </c>
      <c r="J314" s="650" t="s">
        <v>743</v>
      </c>
      <c r="K314" s="651"/>
      <c r="L314" s="651"/>
      <c r="M314" s="665"/>
      <c r="N314" s="127"/>
      <c r="O314" s="555"/>
      <c r="P314" s="556"/>
      <c r="Q314" s="556"/>
      <c r="R314" s="557"/>
      <c r="T314" s="611" t="s">
        <v>742</v>
      </c>
      <c r="U314" s="137"/>
      <c r="V314" s="138"/>
      <c r="W314" s="153"/>
      <c r="X314" s="140">
        <f>IF(W314&gt;0,INDEX(lerntab___0,W314,1),0)</f>
        <v>0</v>
      </c>
      <c r="Y314" s="141">
        <f>ROUND(X314*I314,0)</f>
        <v>0</v>
      </c>
      <c r="Z314" s="155"/>
      <c r="AA314" s="650" t="s">
        <v>743</v>
      </c>
      <c r="AB314" s="137"/>
      <c r="AC314" s="211"/>
      <c r="AD314" s="212"/>
      <c r="AE314" s="182"/>
      <c r="AF314" s="183"/>
      <c r="AH314" s="155"/>
      <c r="AJ314" s="4"/>
      <c r="AN314" s="146">
        <f>IF(LEFT(C314,1)="A",Y314,0)</f>
        <v>0</v>
      </c>
      <c r="AO314" s="146">
        <f>IF(LEFT(C314,1)="K",Y314,0)</f>
        <v>0</v>
      </c>
      <c r="AP314" s="146">
        <f>IF(LEFT(C314,1)="M",Y314,0)</f>
        <v>0</v>
      </c>
      <c r="AQ314" s="146"/>
      <c r="AR314" s="146">
        <f>IF(LEFT(M314,1)="A",AF314,0)</f>
        <v>0</v>
      </c>
      <c r="AS314" s="146">
        <f>IF(LEFT(M314,1)="K",AF314,0)</f>
        <v>0</v>
      </c>
      <c r="AT314" s="146">
        <f>IF(LEFT(M314,1)="M",AF314,0)</f>
        <v>0</v>
      </c>
      <c r="IU314"/>
      <c r="IV314"/>
    </row>
    <row r="315" spans="1:256" s="2" customFormat="1" ht="9" customHeight="1">
      <c r="A315" s="479" t="s">
        <v>744</v>
      </c>
      <c r="B315" s="168"/>
      <c r="C315" s="169"/>
      <c r="D315" s="171"/>
      <c r="E315" s="171"/>
      <c r="F315" s="171"/>
      <c r="G315" s="135"/>
      <c r="H315" s="135"/>
      <c r="I315" s="136"/>
      <c r="J315" s="479" t="s">
        <v>745</v>
      </c>
      <c r="K315" s="132"/>
      <c r="L315" s="132"/>
      <c r="M315" s="168"/>
      <c r="N315" s="148"/>
      <c r="O315" s="314"/>
      <c r="P315" s="490"/>
      <c r="Q315" s="490"/>
      <c r="R315" s="130"/>
      <c r="T315" s="479" t="s">
        <v>744</v>
      </c>
      <c r="U315" s="137"/>
      <c r="V315" s="211"/>
      <c r="W315" s="605"/>
      <c r="X315" s="182"/>
      <c r="Y315" s="183"/>
      <c r="Z315" s="155"/>
      <c r="AA315" s="479" t="s">
        <v>745</v>
      </c>
      <c r="AB315" s="137"/>
      <c r="AC315" s="211"/>
      <c r="AD315" s="212"/>
      <c r="AE315" s="182"/>
      <c r="AF315" s="183"/>
      <c r="AH315" s="155"/>
      <c r="AJ315" s="4"/>
      <c r="AN315" s="146">
        <f>IF(LEFT(C315,1)="A",Y315,0)</f>
        <v>0</v>
      </c>
      <c r="AO315" s="146">
        <f>IF(LEFT(C315,1)="K",Y315,0)</f>
        <v>0</v>
      </c>
      <c r="AP315" s="146">
        <f>IF(LEFT(C315,1)="M",Y315,0)</f>
        <v>0</v>
      </c>
      <c r="AQ315" s="146"/>
      <c r="AR315" s="146">
        <f>IF(LEFT(M315,1)="A",AF315,0)</f>
        <v>0</v>
      </c>
      <c r="AS315" s="146">
        <f>IF(LEFT(M315,1)="K",AF315,0)</f>
        <v>0</v>
      </c>
      <c r="AT315" s="146">
        <f>IF(LEFT(M315,1)="M",AF315,0)</f>
        <v>0</v>
      </c>
      <c r="IU315"/>
      <c r="IV315"/>
    </row>
    <row r="316" spans="1:256" s="2" customFormat="1" ht="9" customHeight="1">
      <c r="A316" s="167" t="s">
        <v>746</v>
      </c>
      <c r="B316" s="168"/>
      <c r="C316" s="169"/>
      <c r="D316" s="171" t="s">
        <v>590</v>
      </c>
      <c r="E316" s="150" t="s">
        <v>709</v>
      </c>
      <c r="F316" s="171">
        <v>60</v>
      </c>
      <c r="G316" s="135">
        <f>(3*Mt___0+Int+Kr___0)/5</f>
        <v>75</v>
      </c>
      <c r="H316" s="135">
        <f>IF(G316&lt;50,450-6*G316,IF(G316&lt;100,250-2*G316,75-G316/4))</f>
        <v>100</v>
      </c>
      <c r="I316" s="136">
        <f>H316*F316/100</f>
        <v>60</v>
      </c>
      <c r="J316" s="131" t="s">
        <v>747</v>
      </c>
      <c r="K316" s="132"/>
      <c r="L316" s="132" t="s">
        <v>663</v>
      </c>
      <c r="M316" s="171" t="s">
        <v>517</v>
      </c>
      <c r="N316" s="150" t="s">
        <v>703</v>
      </c>
      <c r="O316" s="150">
        <v>50</v>
      </c>
      <c r="P316" s="135">
        <f>(3*Mt___0+2*Int)/5</f>
        <v>75</v>
      </c>
      <c r="Q316" s="135">
        <f>IF(P316&lt;50,450-6*P316,IF(P316&lt;100,250-2*P316,75-P316/4))</f>
        <v>100</v>
      </c>
      <c r="R316" s="569">
        <f>Q316*O316/100</f>
        <v>50</v>
      </c>
      <c r="T316" s="167" t="s">
        <v>746</v>
      </c>
      <c r="U316" s="137"/>
      <c r="V316" s="138"/>
      <c r="W316" s="153"/>
      <c r="X316" s="140">
        <f>IF(W316&gt;0,INDEX(lerntab___0,W316,1),0)</f>
        <v>0</v>
      </c>
      <c r="Y316" s="141">
        <f>ROUND(X316*I316,0)</f>
        <v>0</v>
      </c>
      <c r="Z316" s="155"/>
      <c r="AA316" s="131" t="s">
        <v>747</v>
      </c>
      <c r="AB316" s="137"/>
      <c r="AC316" s="138"/>
      <c r="AD316" s="139"/>
      <c r="AE316" s="140">
        <f>IF(AD316&gt;0,INDEX(lerntab___0,AD316,1),0)</f>
        <v>0</v>
      </c>
      <c r="AF316" s="141">
        <f>ROUND(AE316*R316,0)</f>
        <v>0</v>
      </c>
      <c r="AH316" s="155"/>
      <c r="AJ316" s="4"/>
      <c r="AN316" s="146">
        <f>IF(LEFT(C316,1)="A",Y316,0)</f>
        <v>0</v>
      </c>
      <c r="AO316" s="146">
        <f>IF(LEFT(C316,1)="K",Y316,0)</f>
        <v>0</v>
      </c>
      <c r="AP316" s="146">
        <f>IF(LEFT(C316,1)="M",Y316,0)</f>
        <v>0</v>
      </c>
      <c r="AQ316" s="146"/>
      <c r="AR316" s="146">
        <f>IF(LEFT(M316,1)="A",AF316,0)</f>
        <v>0</v>
      </c>
      <c r="AS316" s="146">
        <f>IF(LEFT(M316,1)="K",AF316,0)</f>
        <v>0</v>
      </c>
      <c r="AT316" s="146">
        <f>IF(LEFT(M316,1)="M",AF316,0)</f>
        <v>0</v>
      </c>
      <c r="IU316"/>
      <c r="IV316"/>
    </row>
    <row r="317" spans="1:256" s="2" customFormat="1" ht="9" customHeight="1">
      <c r="A317" s="167" t="s">
        <v>748</v>
      </c>
      <c r="B317" s="168"/>
      <c r="C317" s="169"/>
      <c r="D317" s="171" t="s">
        <v>590</v>
      </c>
      <c r="E317" s="150" t="s">
        <v>709</v>
      </c>
      <c r="F317" s="171">
        <v>80</v>
      </c>
      <c r="G317" s="135">
        <f>(3*Mt___0+Int+Kr___0)/5</f>
        <v>75</v>
      </c>
      <c r="H317" s="135">
        <f>IF(G317&lt;50,450-6*G317,IF(G317&lt;100,250-2*G317,75-G317/4))</f>
        <v>100</v>
      </c>
      <c r="I317" s="136">
        <f>H317*F317/100</f>
        <v>80</v>
      </c>
      <c r="J317" s="479" t="s">
        <v>710</v>
      </c>
      <c r="K317" s="132"/>
      <c r="L317" s="132"/>
      <c r="M317" s="168"/>
      <c r="N317" s="148"/>
      <c r="O317" s="314"/>
      <c r="P317" s="490"/>
      <c r="Q317" s="490"/>
      <c r="R317" s="130"/>
      <c r="T317" s="167" t="s">
        <v>748</v>
      </c>
      <c r="U317" s="137"/>
      <c r="V317" s="138"/>
      <c r="W317" s="153"/>
      <c r="X317" s="140">
        <f>IF(W317&gt;0,INDEX(lerntab___0,W317,1),0)</f>
        <v>0</v>
      </c>
      <c r="Y317" s="141">
        <f>ROUND(X317*I317,0)</f>
        <v>0</v>
      </c>
      <c r="Z317" s="155"/>
      <c r="AA317" s="479" t="s">
        <v>710</v>
      </c>
      <c r="AB317" s="137"/>
      <c r="AC317" s="211"/>
      <c r="AD317" s="212"/>
      <c r="AE317" s="182"/>
      <c r="AF317" s="183"/>
      <c r="AH317" s="155"/>
      <c r="AJ317" s="4"/>
      <c r="AN317" s="146">
        <f>IF(LEFT(C317,1)="A",Y317,0)</f>
        <v>0</v>
      </c>
      <c r="AO317" s="146">
        <f>IF(LEFT(C317,1)="K",Y317,0)</f>
        <v>0</v>
      </c>
      <c r="AP317" s="146">
        <f>IF(LEFT(C317,1)="M",Y317,0)</f>
        <v>0</v>
      </c>
      <c r="AQ317" s="146"/>
      <c r="AR317" s="146">
        <f>IF(LEFT(M317,1)="A",AF317,0)</f>
        <v>0</v>
      </c>
      <c r="AS317" s="146">
        <f>IF(LEFT(M317,1)="K",AF317,0)</f>
        <v>0</v>
      </c>
      <c r="AT317" s="146">
        <f>IF(LEFT(M317,1)="M",AF317,0)</f>
        <v>0</v>
      </c>
      <c r="IU317"/>
      <c r="IV317"/>
    </row>
    <row r="318" spans="1:256" s="2" customFormat="1" ht="9" customHeight="1">
      <c r="A318" s="167" t="s">
        <v>749</v>
      </c>
      <c r="B318" s="168"/>
      <c r="C318" s="169"/>
      <c r="D318" s="171" t="s">
        <v>590</v>
      </c>
      <c r="E318" s="150" t="s">
        <v>709</v>
      </c>
      <c r="F318" s="171">
        <v>100</v>
      </c>
      <c r="G318" s="135">
        <f>(3*Mt___0+Int+Kr___0)/5</f>
        <v>75</v>
      </c>
      <c r="H318" s="135">
        <f>IF(G318&lt;50,450-6*G318,IF(G318&lt;100,250-2*G318,75-G318/4))</f>
        <v>100</v>
      </c>
      <c r="I318" s="136">
        <f>H318*F318/100</f>
        <v>100</v>
      </c>
      <c r="J318" s="131" t="s">
        <v>712</v>
      </c>
      <c r="K318" s="132"/>
      <c r="L318" s="132"/>
      <c r="M318" s="171" t="s">
        <v>750</v>
      </c>
      <c r="N318" s="150" t="s">
        <v>713</v>
      </c>
      <c r="O318" s="150">
        <v>5</v>
      </c>
      <c r="P318" s="135">
        <f>(3*Mt___0+2*Int)/5</f>
        <v>75</v>
      </c>
      <c r="Q318" s="135">
        <f>IF(P318&lt;50,450-6*P318,IF(P318&lt;100,250-2*P318,75-P318/4))</f>
        <v>100</v>
      </c>
      <c r="R318" s="569">
        <f>Q318*O318/100</f>
        <v>5</v>
      </c>
      <c r="T318" s="167" t="s">
        <v>749</v>
      </c>
      <c r="U318" s="137"/>
      <c r="V318" s="138"/>
      <c r="W318" s="153"/>
      <c r="X318" s="140">
        <f>IF(W318&gt;0,INDEX(lerntab___0,W318,1),0)</f>
        <v>0</v>
      </c>
      <c r="Y318" s="141">
        <f>ROUND(X318*I318,0)</f>
        <v>0</v>
      </c>
      <c r="Z318" s="155"/>
      <c r="AA318" s="131" t="s">
        <v>712</v>
      </c>
      <c r="AB318" s="137"/>
      <c r="AC318" s="138"/>
      <c r="AD318" s="139"/>
      <c r="AE318" s="140">
        <f>IF(AD318&gt;0,INDEX(lerntab___0,AD318,1),0)</f>
        <v>0</v>
      </c>
      <c r="AF318" s="141">
        <f>ROUND(AE318*R318,0)</f>
        <v>0</v>
      </c>
      <c r="AH318" s="155"/>
      <c r="AJ318" s="4"/>
      <c r="AN318" s="146">
        <f>IF(LEFT(C318,1)="A",Y318,0)</f>
        <v>0</v>
      </c>
      <c r="AO318" s="146">
        <f>IF(LEFT(C318,1)="K",Y318,0)</f>
        <v>0</v>
      </c>
      <c r="AP318" s="146">
        <f>IF(LEFT(C318,1)="M",Y318,0)</f>
        <v>0</v>
      </c>
      <c r="AQ318" s="146"/>
      <c r="AR318" s="146">
        <f>IF(LEFT(M318,1)="A",AF318,0)</f>
        <v>0</v>
      </c>
      <c r="AS318" s="146">
        <f>IF(LEFT(M318,1)="K",AF318,0)</f>
        <v>0</v>
      </c>
      <c r="AT318" s="146">
        <f>IF(LEFT(M318,1)="M",AF318,0)</f>
        <v>0</v>
      </c>
      <c r="IU318"/>
      <c r="IV318"/>
    </row>
    <row r="319" spans="1:256" s="2" customFormat="1" ht="9" customHeight="1">
      <c r="A319" s="167" t="s">
        <v>751</v>
      </c>
      <c r="B319" s="168"/>
      <c r="C319" s="169"/>
      <c r="D319" s="171" t="s">
        <v>590</v>
      </c>
      <c r="E319" s="150" t="s">
        <v>709</v>
      </c>
      <c r="F319" s="171">
        <v>150</v>
      </c>
      <c r="G319" s="135">
        <f>(3*Mt___0+Int+Kr___0)/5</f>
        <v>75</v>
      </c>
      <c r="H319" s="135">
        <f>IF(G319&lt;50,450-6*G319,IF(G319&lt;100,250-2*G319,75-G319/4))</f>
        <v>100</v>
      </c>
      <c r="I319" s="136">
        <f>H319*F319/100</f>
        <v>150</v>
      </c>
      <c r="J319" s="131" t="s">
        <v>715</v>
      </c>
      <c r="K319" s="132"/>
      <c r="L319" s="132"/>
      <c r="M319" s="171" t="s">
        <v>750</v>
      </c>
      <c r="N319" s="150" t="s">
        <v>713</v>
      </c>
      <c r="O319" s="150">
        <v>10</v>
      </c>
      <c r="P319" s="135">
        <f>(3*Mt___0+2*Int)/5</f>
        <v>75</v>
      </c>
      <c r="Q319" s="135">
        <f>IF(P319&lt;50,450-6*P319,IF(P319&lt;100,250-2*P319,75-P319/4))</f>
        <v>100</v>
      </c>
      <c r="R319" s="569">
        <f>Q319*O319/100</f>
        <v>10</v>
      </c>
      <c r="T319" s="167" t="s">
        <v>751</v>
      </c>
      <c r="U319" s="137"/>
      <c r="V319" s="138"/>
      <c r="W319" s="153"/>
      <c r="X319" s="140">
        <f>IF(W319&gt;0,INDEX(lerntab___0,W319,1),0)</f>
        <v>0</v>
      </c>
      <c r="Y319" s="141">
        <f>ROUND(X319*I319,0)</f>
        <v>0</v>
      </c>
      <c r="Z319" s="155"/>
      <c r="AA319" s="131" t="s">
        <v>715</v>
      </c>
      <c r="AB319" s="137"/>
      <c r="AC319" s="138"/>
      <c r="AD319" s="139"/>
      <c r="AE319" s="140">
        <f>IF(AD319&gt;0,INDEX(lerntab___0,AD319,1),0)</f>
        <v>0</v>
      </c>
      <c r="AF319" s="141">
        <f>ROUND(AE319*R319,0)</f>
        <v>0</v>
      </c>
      <c r="AH319" s="155"/>
      <c r="AJ319" s="4"/>
      <c r="AN319" s="146">
        <f>IF(LEFT(C319,1)="A",Y319,0)</f>
        <v>0</v>
      </c>
      <c r="AO319" s="146">
        <f>IF(LEFT(C319,1)="K",Y319,0)</f>
        <v>0</v>
      </c>
      <c r="AP319" s="146">
        <f>IF(LEFT(C319,1)="M",Y319,0)</f>
        <v>0</v>
      </c>
      <c r="AQ319" s="146"/>
      <c r="AR319" s="146">
        <f>IF(LEFT(M319,1)="A",AF319,0)</f>
        <v>0</v>
      </c>
      <c r="AS319" s="146">
        <f>IF(LEFT(M319,1)="K",AF319,0)</f>
        <v>0</v>
      </c>
      <c r="AT319" s="146">
        <f>IF(LEFT(M319,1)="M",AF319,0)</f>
        <v>0</v>
      </c>
      <c r="IU319"/>
      <c r="IV319"/>
    </row>
    <row r="320" spans="1:256" s="2" customFormat="1" ht="9" customHeight="1">
      <c r="A320" s="167" t="s">
        <v>752</v>
      </c>
      <c r="B320" s="168"/>
      <c r="C320" s="169"/>
      <c r="D320" s="171" t="s">
        <v>590</v>
      </c>
      <c r="E320" s="150" t="s">
        <v>709</v>
      </c>
      <c r="F320" s="171">
        <v>200</v>
      </c>
      <c r="G320" s="135">
        <f>(3*Mt___0+Int+Kr___0)/5</f>
        <v>75</v>
      </c>
      <c r="H320" s="135">
        <f>IF(G320&lt;50,450-6*G320,IF(G320&lt;100,250-2*G320,75-G320/4))</f>
        <v>100</v>
      </c>
      <c r="I320" s="136">
        <f>H320*F320/100</f>
        <v>200</v>
      </c>
      <c r="J320" s="131" t="s">
        <v>717</v>
      </c>
      <c r="K320" s="132"/>
      <c r="L320" s="132"/>
      <c r="M320" s="171" t="s">
        <v>750</v>
      </c>
      <c r="N320" s="150" t="s">
        <v>713</v>
      </c>
      <c r="O320" s="150">
        <v>15</v>
      </c>
      <c r="P320" s="135">
        <f>(3*Mt___0+2*Int)/5</f>
        <v>75</v>
      </c>
      <c r="Q320" s="135">
        <f>IF(P320&lt;50,450-6*P320,IF(P320&lt;100,250-2*P320,75-P320/4))</f>
        <v>100</v>
      </c>
      <c r="R320" s="569">
        <f>Q320*O320/100</f>
        <v>15</v>
      </c>
      <c r="T320" s="167" t="s">
        <v>752</v>
      </c>
      <c r="U320" s="137"/>
      <c r="V320" s="138"/>
      <c r="W320" s="153"/>
      <c r="X320" s="140">
        <f>IF(W320&gt;0,INDEX(lerntab___0,W320,1),0)</f>
        <v>0</v>
      </c>
      <c r="Y320" s="141">
        <f>ROUND(X320*I320,0)</f>
        <v>0</v>
      </c>
      <c r="Z320" s="155"/>
      <c r="AA320" s="131" t="s">
        <v>717</v>
      </c>
      <c r="AB320" s="137"/>
      <c r="AC320" s="138"/>
      <c r="AD320" s="139"/>
      <c r="AE320" s="140">
        <f>IF(AD320&gt;0,INDEX(lerntab___0,AD320,1),0)</f>
        <v>0</v>
      </c>
      <c r="AF320" s="141">
        <f>ROUND(AE320*R320,0)</f>
        <v>0</v>
      </c>
      <c r="AH320" s="155"/>
      <c r="AJ320" s="4"/>
      <c r="AN320" s="146">
        <f>IF(LEFT(C320,1)="A",Y320,0)</f>
        <v>0</v>
      </c>
      <c r="AO320" s="146">
        <f>IF(LEFT(C320,1)="K",Y320,0)</f>
        <v>0</v>
      </c>
      <c r="AP320" s="146">
        <f>IF(LEFT(C320,1)="M",Y320,0)</f>
        <v>0</v>
      </c>
      <c r="AQ320" s="146"/>
      <c r="AR320" s="146">
        <f>IF(LEFT(M320,1)="A",AF320,0)</f>
        <v>0</v>
      </c>
      <c r="AS320" s="146">
        <f>IF(LEFT(M320,1)="K",AF320,0)</f>
        <v>0</v>
      </c>
      <c r="AT320" s="146">
        <f>IF(LEFT(M320,1)="M",AF320,0)</f>
        <v>0</v>
      </c>
      <c r="IU320"/>
      <c r="IV320"/>
    </row>
    <row r="321" spans="1:256" s="2" customFormat="1" ht="9" customHeight="1">
      <c r="A321" s="167" t="s">
        <v>753</v>
      </c>
      <c r="B321" s="168"/>
      <c r="C321" s="169"/>
      <c r="D321" s="171" t="s">
        <v>590</v>
      </c>
      <c r="E321" s="150" t="s">
        <v>709</v>
      </c>
      <c r="F321" s="171">
        <v>300</v>
      </c>
      <c r="G321" s="135">
        <f>(3*Mt___0+Int+Kr___0)/5</f>
        <v>75</v>
      </c>
      <c r="H321" s="135">
        <f>IF(G321&lt;50,450-6*G321,IF(G321&lt;100,250-2*G321,75-G321/4))</f>
        <v>100</v>
      </c>
      <c r="I321" s="136">
        <f>H321*F321/100</f>
        <v>300</v>
      </c>
      <c r="J321" s="131" t="s">
        <v>719</v>
      </c>
      <c r="K321" s="132"/>
      <c r="L321" s="132"/>
      <c r="M321" s="171" t="s">
        <v>750</v>
      </c>
      <c r="N321" s="150" t="s">
        <v>713</v>
      </c>
      <c r="O321" s="150">
        <v>20</v>
      </c>
      <c r="P321" s="135">
        <f>(3*Mt___0+2*Int)/5</f>
        <v>75</v>
      </c>
      <c r="Q321" s="135">
        <f>IF(P321&lt;50,450-6*P321,IF(P321&lt;100,250-2*P321,75-P321/4))</f>
        <v>100</v>
      </c>
      <c r="R321" s="569">
        <f>Q321*O321/100</f>
        <v>20</v>
      </c>
      <c r="T321" s="167" t="s">
        <v>753</v>
      </c>
      <c r="U321" s="137"/>
      <c r="V321" s="138"/>
      <c r="W321" s="153"/>
      <c r="X321" s="140">
        <f>IF(W321&gt;0,INDEX(lerntab___0,W321,1),0)</f>
        <v>0</v>
      </c>
      <c r="Y321" s="141">
        <f>ROUND(X321*I321,0)</f>
        <v>0</v>
      </c>
      <c r="Z321" s="155"/>
      <c r="AA321" s="131" t="s">
        <v>719</v>
      </c>
      <c r="AB321" s="137"/>
      <c r="AC321" s="138"/>
      <c r="AD321" s="139"/>
      <c r="AE321" s="140">
        <f>IF(AD321&gt;0,INDEX(lerntab___0,AD321,1),0)</f>
        <v>0</v>
      </c>
      <c r="AF321" s="141">
        <f>ROUND(AE321*R321,0)</f>
        <v>0</v>
      </c>
      <c r="AH321" s="155"/>
      <c r="AJ321" s="4"/>
      <c r="AN321" s="146">
        <f>IF(LEFT(C321,1)="A",Y321,0)</f>
        <v>0</v>
      </c>
      <c r="AO321" s="146">
        <f>IF(LEFT(C321,1)="K",Y321,0)</f>
        <v>0</v>
      </c>
      <c r="AP321" s="146">
        <f>IF(LEFT(C321,1)="M",Y321,0)</f>
        <v>0</v>
      </c>
      <c r="AQ321" s="146"/>
      <c r="AR321" s="146">
        <f>IF(LEFT(M321,1)="A",AF321,0)</f>
        <v>0</v>
      </c>
      <c r="AS321" s="146">
        <f>IF(LEFT(M321,1)="K",AF321,0)</f>
        <v>0</v>
      </c>
      <c r="AT321" s="146">
        <f>IF(LEFT(M321,1)="M",AF321,0)</f>
        <v>0</v>
      </c>
      <c r="IU321"/>
      <c r="IV321"/>
    </row>
    <row r="322" spans="1:256" s="2" customFormat="1" ht="9" customHeight="1">
      <c r="A322" s="479" t="s">
        <v>754</v>
      </c>
      <c r="B322" s="168"/>
      <c r="C322" s="169"/>
      <c r="D322" s="171"/>
      <c r="E322" s="171"/>
      <c r="F322" s="171"/>
      <c r="G322" s="135"/>
      <c r="H322" s="135"/>
      <c r="I322" s="136"/>
      <c r="J322" s="131" t="s">
        <v>721</v>
      </c>
      <c r="K322" s="132"/>
      <c r="L322" s="132"/>
      <c r="M322" s="171" t="s">
        <v>750</v>
      </c>
      <c r="N322" s="150" t="s">
        <v>713</v>
      </c>
      <c r="O322" s="150">
        <v>25</v>
      </c>
      <c r="P322" s="135">
        <f>(3*Mt___0+2*Int)/5</f>
        <v>75</v>
      </c>
      <c r="Q322" s="135">
        <f>IF(P322&lt;50,450-6*P322,IF(P322&lt;100,250-2*P322,75-P322/4))</f>
        <v>100</v>
      </c>
      <c r="R322" s="569">
        <f>Q322*O322/100</f>
        <v>25</v>
      </c>
      <c r="T322" s="479" t="s">
        <v>754</v>
      </c>
      <c r="U322" s="137"/>
      <c r="V322" s="211"/>
      <c r="W322" s="605"/>
      <c r="X322" s="182"/>
      <c r="Y322" s="183"/>
      <c r="Z322" s="155"/>
      <c r="AA322" s="131" t="s">
        <v>721</v>
      </c>
      <c r="AB322" s="137"/>
      <c r="AC322" s="138"/>
      <c r="AD322" s="139"/>
      <c r="AE322" s="140">
        <f>IF(AD322&gt;0,INDEX(lerntab___0,AD322,1),0)</f>
        <v>0</v>
      </c>
      <c r="AF322" s="141">
        <f>ROUND(AE322*R322,0)</f>
        <v>0</v>
      </c>
      <c r="AH322" s="155"/>
      <c r="AJ322" s="4"/>
      <c r="AN322" s="146">
        <f>IF(LEFT(C322,1)="A",Y322,0)</f>
        <v>0</v>
      </c>
      <c r="AO322" s="146">
        <f>IF(LEFT(C322,1)="K",Y322,0)</f>
        <v>0</v>
      </c>
      <c r="AP322" s="146">
        <f>IF(LEFT(C322,1)="M",Y322,0)</f>
        <v>0</v>
      </c>
      <c r="AQ322" s="146"/>
      <c r="AR322" s="146">
        <f>IF(LEFT(M322,1)="A",AF322,0)</f>
        <v>0</v>
      </c>
      <c r="AS322" s="146">
        <f>IF(LEFT(M322,1)="K",AF322,0)</f>
        <v>0</v>
      </c>
      <c r="AT322" s="146">
        <f>IF(LEFT(M322,1)="M",AF322,0)</f>
        <v>0</v>
      </c>
      <c r="IU322"/>
      <c r="IV322"/>
    </row>
    <row r="323" spans="1:256" s="2" customFormat="1" ht="9" customHeight="1">
      <c r="A323" s="167" t="s">
        <v>755</v>
      </c>
      <c r="B323" s="168"/>
      <c r="C323" s="169"/>
      <c r="D323" s="171" t="s">
        <v>590</v>
      </c>
      <c r="E323" s="150" t="s">
        <v>709</v>
      </c>
      <c r="F323" s="171">
        <v>60</v>
      </c>
      <c r="G323" s="135">
        <f>(3*Mt___0+Int+Kr___0)/5</f>
        <v>75</v>
      </c>
      <c r="H323" s="135">
        <f>IF(G323&lt;50,450-6*G323,IF(G323&lt;100,250-2*G323,75-G323/4))</f>
        <v>100</v>
      </c>
      <c r="I323" s="136">
        <f>H323*F323/100</f>
        <v>60</v>
      </c>
      <c r="J323" s="131" t="s">
        <v>723</v>
      </c>
      <c r="K323" s="132"/>
      <c r="L323" s="132"/>
      <c r="M323" s="171" t="s">
        <v>750</v>
      </c>
      <c r="N323" s="150" t="s">
        <v>713</v>
      </c>
      <c r="O323" s="150">
        <v>30</v>
      </c>
      <c r="P323" s="135">
        <f>(3*Mt___0+2*Int)/5</f>
        <v>75</v>
      </c>
      <c r="Q323" s="135">
        <f>IF(P323&lt;50,450-6*P323,IF(P323&lt;100,250-2*P323,75-P323/4))</f>
        <v>100</v>
      </c>
      <c r="R323" s="569">
        <f>Q323*O323/100</f>
        <v>30</v>
      </c>
      <c r="T323" s="167" t="s">
        <v>755</v>
      </c>
      <c r="U323" s="137"/>
      <c r="V323" s="138"/>
      <c r="W323" s="153"/>
      <c r="X323" s="140">
        <f>IF(W323&gt;0,INDEX(lerntab___0,W323,1),0)</f>
        <v>0</v>
      </c>
      <c r="Y323" s="141">
        <f>ROUND(X323*I323,0)</f>
        <v>0</v>
      </c>
      <c r="Z323" s="155"/>
      <c r="AA323" s="131" t="s">
        <v>723</v>
      </c>
      <c r="AB323" s="137"/>
      <c r="AC323" s="138"/>
      <c r="AD323" s="139"/>
      <c r="AE323" s="140">
        <f>IF(AD323&gt;0,INDEX(lerntab___0,AD323,1),0)</f>
        <v>0</v>
      </c>
      <c r="AF323" s="141">
        <f>ROUND(AE323*R323,0)</f>
        <v>0</v>
      </c>
      <c r="AH323" s="155"/>
      <c r="AJ323" s="4"/>
      <c r="AN323" s="146">
        <f>IF(LEFT(C323,1)="A",Y323,0)</f>
        <v>0</v>
      </c>
      <c r="AO323" s="146">
        <f>IF(LEFT(C323,1)="K",Y323,0)</f>
        <v>0</v>
      </c>
      <c r="AP323" s="146">
        <f>IF(LEFT(C323,1)="M",Y323,0)</f>
        <v>0</v>
      </c>
      <c r="AQ323" s="146"/>
      <c r="AR323" s="146">
        <f>IF(LEFT(M323,1)="A",AF323,0)</f>
        <v>0</v>
      </c>
      <c r="AS323" s="146">
        <f>IF(LEFT(M323,1)="K",AF323,0)</f>
        <v>0</v>
      </c>
      <c r="AT323" s="146">
        <f>IF(LEFT(M323,1)="M",AF323,0)</f>
        <v>0</v>
      </c>
      <c r="IU323"/>
      <c r="IV323"/>
    </row>
    <row r="324" spans="1:256" s="2" customFormat="1" ht="9" customHeight="1">
      <c r="A324" s="167" t="s">
        <v>756</v>
      </c>
      <c r="B324" s="168"/>
      <c r="C324" s="169"/>
      <c r="D324" s="171" t="s">
        <v>590</v>
      </c>
      <c r="E324" s="150" t="s">
        <v>709</v>
      </c>
      <c r="F324" s="171">
        <v>80</v>
      </c>
      <c r="G324" s="135">
        <f>(3*Mt___0+Int+Kr___0)/5</f>
        <v>75</v>
      </c>
      <c r="H324" s="135">
        <f>IF(G324&lt;50,450-6*G324,IF(G324&lt;100,250-2*G324,75-G324/4))</f>
        <v>100</v>
      </c>
      <c r="I324" s="136">
        <f>H324*F324/100</f>
        <v>80</v>
      </c>
      <c r="J324" s="131" t="s">
        <v>725</v>
      </c>
      <c r="K324" s="132"/>
      <c r="L324" s="132"/>
      <c r="M324" s="171" t="s">
        <v>750</v>
      </c>
      <c r="N324" s="150" t="s">
        <v>713</v>
      </c>
      <c r="O324" s="150">
        <v>35</v>
      </c>
      <c r="P324" s="135">
        <f>(3*Mt___0+2*Int)/5</f>
        <v>75</v>
      </c>
      <c r="Q324" s="135">
        <f>IF(P324&lt;50,450-6*P324,IF(P324&lt;100,250-2*P324,75-P324/4))</f>
        <v>100</v>
      </c>
      <c r="R324" s="569">
        <f>Q324*O324/100</f>
        <v>35</v>
      </c>
      <c r="T324" s="167" t="s">
        <v>756</v>
      </c>
      <c r="U324" s="137"/>
      <c r="V324" s="138"/>
      <c r="W324" s="153"/>
      <c r="X324" s="140">
        <f>IF(W324&gt;0,INDEX(lerntab___0,W324,1),0)</f>
        <v>0</v>
      </c>
      <c r="Y324" s="141">
        <f>ROUND(X324*I324,0)</f>
        <v>0</v>
      </c>
      <c r="Z324" s="155"/>
      <c r="AA324" s="131" t="s">
        <v>725</v>
      </c>
      <c r="AB324" s="137"/>
      <c r="AC324" s="138"/>
      <c r="AD324" s="139"/>
      <c r="AE324" s="140">
        <f>IF(AD324&gt;0,INDEX(lerntab___0,AD324,1),0)</f>
        <v>0</v>
      </c>
      <c r="AF324" s="141">
        <f>ROUND(AE324*R324,0)</f>
        <v>0</v>
      </c>
      <c r="AH324" s="155"/>
      <c r="AJ324" s="4"/>
      <c r="AN324" s="146">
        <f>IF(LEFT(C324,1)="A",Y324,0)</f>
        <v>0</v>
      </c>
      <c r="AO324" s="146">
        <f>IF(LEFT(C324,1)="K",Y324,0)</f>
        <v>0</v>
      </c>
      <c r="AP324" s="146">
        <f>IF(LEFT(C324,1)="M",Y324,0)</f>
        <v>0</v>
      </c>
      <c r="AQ324" s="146"/>
      <c r="AR324" s="146">
        <f>IF(LEFT(M324,1)="A",AF324,0)</f>
        <v>0</v>
      </c>
      <c r="AS324" s="146">
        <f>IF(LEFT(M324,1)="K",AF324,0)</f>
        <v>0</v>
      </c>
      <c r="AT324" s="146">
        <f>IF(LEFT(M324,1)="M",AF324,0)</f>
        <v>0</v>
      </c>
      <c r="IU324"/>
      <c r="IV324"/>
    </row>
    <row r="325" spans="1:256" s="2" customFormat="1" ht="9" customHeight="1">
      <c r="A325" s="167" t="s">
        <v>757</v>
      </c>
      <c r="B325" s="168"/>
      <c r="C325" s="169"/>
      <c r="D325" s="171" t="s">
        <v>590</v>
      </c>
      <c r="E325" s="150" t="s">
        <v>709</v>
      </c>
      <c r="F325" s="171">
        <v>90</v>
      </c>
      <c r="G325" s="135">
        <f>(3*Mt___0+Int+Kr___0)/5</f>
        <v>75</v>
      </c>
      <c r="H325" s="135">
        <f>IF(G325&lt;50,450-6*G325,IF(G325&lt;100,250-2*G325,75-G325/4))</f>
        <v>100</v>
      </c>
      <c r="I325" s="136">
        <f>H325*F325/100</f>
        <v>90</v>
      </c>
      <c r="J325" s="131" t="s">
        <v>727</v>
      </c>
      <c r="K325" s="132"/>
      <c r="L325" s="132"/>
      <c r="M325" s="171" t="s">
        <v>750</v>
      </c>
      <c r="N325" s="150" t="s">
        <v>713</v>
      </c>
      <c r="O325" s="150">
        <v>40</v>
      </c>
      <c r="P325" s="135">
        <f>(3*Mt___0+2*Int)/5</f>
        <v>75</v>
      </c>
      <c r="Q325" s="135">
        <f>IF(P325&lt;50,450-6*P325,IF(P325&lt;100,250-2*P325,75-P325/4))</f>
        <v>100</v>
      </c>
      <c r="R325" s="569">
        <f>Q325*O325/100</f>
        <v>40</v>
      </c>
      <c r="T325" s="167" t="s">
        <v>757</v>
      </c>
      <c r="U325" s="137"/>
      <c r="V325" s="138"/>
      <c r="W325" s="153"/>
      <c r="X325" s="140">
        <f>IF(W325&gt;0,INDEX(lerntab___0,W325,1),0)</f>
        <v>0</v>
      </c>
      <c r="Y325" s="141">
        <f>ROUND(X325*I325,0)</f>
        <v>0</v>
      </c>
      <c r="Z325" s="155"/>
      <c r="AA325" s="131" t="s">
        <v>727</v>
      </c>
      <c r="AB325" s="137"/>
      <c r="AC325" s="138"/>
      <c r="AD325" s="139"/>
      <c r="AE325" s="140">
        <f>IF(AD325&gt;0,INDEX(lerntab___0,AD325,1),0)</f>
        <v>0</v>
      </c>
      <c r="AF325" s="141">
        <f>ROUND(AE325*R325,0)</f>
        <v>0</v>
      </c>
      <c r="AH325" s="155"/>
      <c r="AJ325" s="4"/>
      <c r="AN325" s="146">
        <f>IF(LEFT(C325,1)="A",Y325,0)</f>
        <v>0</v>
      </c>
      <c r="AO325" s="146">
        <f>IF(LEFT(C325,1)="K",Y325,0)</f>
        <v>0</v>
      </c>
      <c r="AP325" s="146">
        <f>IF(LEFT(C325,1)="M",Y325,0)</f>
        <v>0</v>
      </c>
      <c r="AQ325" s="146"/>
      <c r="AR325" s="146">
        <f>IF(LEFT(M325,1)="A",AF325,0)</f>
        <v>0</v>
      </c>
      <c r="AS325" s="146">
        <f>IF(LEFT(M325,1)="K",AF325,0)</f>
        <v>0</v>
      </c>
      <c r="AT325" s="146">
        <f>IF(LEFT(M325,1)="M",AF325,0)</f>
        <v>0</v>
      </c>
      <c r="IU325"/>
      <c r="IV325"/>
    </row>
    <row r="326" spans="1:256" s="2" customFormat="1" ht="9" customHeight="1">
      <c r="A326" s="167" t="s">
        <v>758</v>
      </c>
      <c r="B326" s="168"/>
      <c r="C326" s="169"/>
      <c r="D326" s="171" t="s">
        <v>590</v>
      </c>
      <c r="E326" s="150" t="s">
        <v>709</v>
      </c>
      <c r="F326" s="171">
        <v>120</v>
      </c>
      <c r="G326" s="135">
        <f>(3*Mt___0+Int+Kr___0)/5</f>
        <v>75</v>
      </c>
      <c r="H326" s="135">
        <f>IF(G326&lt;50,450-6*G326,IF(G326&lt;100,250-2*G326,75-G326/4))</f>
        <v>100</v>
      </c>
      <c r="I326" s="136">
        <f>H326*F326/100</f>
        <v>120</v>
      </c>
      <c r="J326" s="131" t="s">
        <v>731</v>
      </c>
      <c r="K326" s="132"/>
      <c r="L326" s="132"/>
      <c r="M326" s="171" t="s">
        <v>750</v>
      </c>
      <c r="N326" s="150" t="s">
        <v>713</v>
      </c>
      <c r="O326" s="150">
        <v>50</v>
      </c>
      <c r="P326" s="135">
        <f>(3*Mt___0+2*Int)/5</f>
        <v>75</v>
      </c>
      <c r="Q326" s="135">
        <f>IF(P326&lt;50,450-6*P326,IF(P326&lt;100,250-2*P326,75-P326/4))</f>
        <v>100</v>
      </c>
      <c r="R326" s="569">
        <f>Q326*O326/100</f>
        <v>50</v>
      </c>
      <c r="T326" s="167" t="s">
        <v>758</v>
      </c>
      <c r="U326" s="137"/>
      <c r="V326" s="138"/>
      <c r="W326" s="153"/>
      <c r="X326" s="140">
        <f>IF(W326&gt;0,INDEX(lerntab___0,W326,1),0)</f>
        <v>0</v>
      </c>
      <c r="Y326" s="141">
        <f>ROUND(X326*I326,0)</f>
        <v>0</v>
      </c>
      <c r="Z326" s="155"/>
      <c r="AA326" s="131" t="s">
        <v>731</v>
      </c>
      <c r="AB326" s="137"/>
      <c r="AC326" s="138"/>
      <c r="AD326" s="139"/>
      <c r="AE326" s="140">
        <f>IF(AD326&gt;0,INDEX(lerntab___0,AD326,1),0)</f>
        <v>0</v>
      </c>
      <c r="AF326" s="141">
        <f>ROUND(AE326*R326,0)</f>
        <v>0</v>
      </c>
      <c r="AH326" s="155"/>
      <c r="AJ326" s="4"/>
      <c r="AN326" s="146">
        <f>IF(LEFT(C326,1)="A",Y326,0)</f>
        <v>0</v>
      </c>
      <c r="AO326" s="146">
        <f>IF(LEFT(C326,1)="K",Y326,0)</f>
        <v>0</v>
      </c>
      <c r="AP326" s="146">
        <f>IF(LEFT(C326,1)="M",Y326,0)</f>
        <v>0</v>
      </c>
      <c r="AQ326" s="146"/>
      <c r="AR326" s="146">
        <f>IF(LEFT(M326,1)="A",AF326,0)</f>
        <v>0</v>
      </c>
      <c r="AS326" s="146">
        <f>IF(LEFT(M326,1)="K",AF326,0)</f>
        <v>0</v>
      </c>
      <c r="AT326" s="146">
        <f>IF(LEFT(M326,1)="M",AF326,0)</f>
        <v>0</v>
      </c>
      <c r="IU326"/>
      <c r="IV326"/>
    </row>
    <row r="327" spans="1:256" s="2" customFormat="1" ht="9" customHeight="1">
      <c r="A327" s="167" t="s">
        <v>759</v>
      </c>
      <c r="B327" s="168"/>
      <c r="C327" s="169"/>
      <c r="D327" s="171" t="s">
        <v>590</v>
      </c>
      <c r="E327" s="150" t="s">
        <v>709</v>
      </c>
      <c r="F327" s="171">
        <v>120</v>
      </c>
      <c r="G327" s="135">
        <f>(3*Mt___0+Int+Kr___0)/5</f>
        <v>75</v>
      </c>
      <c r="H327" s="135">
        <f>IF(G327&lt;50,450-6*G327,IF(G327&lt;100,250-2*G327,75-G327/4))</f>
        <v>100</v>
      </c>
      <c r="I327" s="136">
        <f>H327*F327/100</f>
        <v>120</v>
      </c>
      <c r="J327" s="131" t="s">
        <v>760</v>
      </c>
      <c r="K327" s="132"/>
      <c r="L327" s="132"/>
      <c r="M327" s="171" t="s">
        <v>750</v>
      </c>
      <c r="N327" s="150" t="s">
        <v>713</v>
      </c>
      <c r="O327" s="150">
        <v>60</v>
      </c>
      <c r="P327" s="135">
        <f>(3*Mt___0+2*Int)/5</f>
        <v>75</v>
      </c>
      <c r="Q327" s="135">
        <f>IF(P327&lt;50,450-6*P327,IF(P327&lt;100,250-2*P327,75-P327/4))</f>
        <v>100</v>
      </c>
      <c r="R327" s="569">
        <f>Q327*O327/100</f>
        <v>60</v>
      </c>
      <c r="T327" s="167" t="s">
        <v>759</v>
      </c>
      <c r="U327" s="137"/>
      <c r="V327" s="138"/>
      <c r="W327" s="153"/>
      <c r="X327" s="140">
        <f>IF(W327&gt;0,INDEX(lerntab___0,W327,1),0)</f>
        <v>0</v>
      </c>
      <c r="Y327" s="141">
        <f>ROUND(X327*I327,0)</f>
        <v>0</v>
      </c>
      <c r="Z327" s="155"/>
      <c r="AA327" s="131" t="s">
        <v>760</v>
      </c>
      <c r="AB327" s="137"/>
      <c r="AC327" s="138"/>
      <c r="AD327" s="139"/>
      <c r="AE327" s="140">
        <f>IF(AD327&gt;0,INDEX(lerntab___0,AD327,1),0)</f>
        <v>0</v>
      </c>
      <c r="AF327" s="141">
        <f>ROUND(AE327*R327,0)</f>
        <v>0</v>
      </c>
      <c r="AH327" s="155"/>
      <c r="AJ327" s="4"/>
      <c r="AN327" s="146">
        <f>IF(LEFT(C327,1)="A",Y327,0)</f>
        <v>0</v>
      </c>
      <c r="AO327" s="146">
        <f>IF(LEFT(C327,1)="K",Y327,0)</f>
        <v>0</v>
      </c>
      <c r="AP327" s="146">
        <f>IF(LEFT(C327,1)="M",Y327,0)</f>
        <v>0</v>
      </c>
      <c r="AQ327" s="146"/>
      <c r="AR327" s="146">
        <f>IF(LEFT(M327,1)="A",AF327,0)</f>
        <v>0</v>
      </c>
      <c r="AS327" s="146">
        <f>IF(LEFT(M327,1)="K",AF327,0)</f>
        <v>0</v>
      </c>
      <c r="AT327" s="146">
        <f>IF(LEFT(M327,1)="M",AF327,0)</f>
        <v>0</v>
      </c>
      <c r="IU327"/>
      <c r="IV327"/>
    </row>
    <row r="328" spans="1:256" s="2" customFormat="1" ht="9" customHeight="1">
      <c r="A328" s="167" t="s">
        <v>761</v>
      </c>
      <c r="B328" s="168"/>
      <c r="C328" s="169"/>
      <c r="D328" s="171" t="s">
        <v>590</v>
      </c>
      <c r="E328" s="150" t="s">
        <v>709</v>
      </c>
      <c r="F328" s="171">
        <v>300</v>
      </c>
      <c r="G328" s="135">
        <f>(3*Mt___0+Int+Kr___0)/5</f>
        <v>75</v>
      </c>
      <c r="H328" s="135">
        <f>IF(G328&lt;50,450-6*G328,IF(G328&lt;100,250-2*G328,75-G328/4))</f>
        <v>100</v>
      </c>
      <c r="I328" s="136">
        <f>H328*F328/100</f>
        <v>300</v>
      </c>
      <c r="J328" s="131" t="s">
        <v>762</v>
      </c>
      <c r="K328" s="132"/>
      <c r="L328" s="132"/>
      <c r="M328" s="171" t="s">
        <v>750</v>
      </c>
      <c r="N328" s="150" t="s">
        <v>713</v>
      </c>
      <c r="O328" s="150">
        <v>70</v>
      </c>
      <c r="P328" s="135">
        <f>(3*Mt___0+2*Int)/5</f>
        <v>75</v>
      </c>
      <c r="Q328" s="135">
        <f>IF(P328&lt;50,450-6*P328,IF(P328&lt;100,250-2*P328,75-P328/4))</f>
        <v>100</v>
      </c>
      <c r="R328" s="569">
        <f>Q328*O328/100</f>
        <v>70</v>
      </c>
      <c r="T328" s="167" t="s">
        <v>761</v>
      </c>
      <c r="U328" s="137"/>
      <c r="V328" s="138"/>
      <c r="W328" s="153"/>
      <c r="X328" s="140">
        <f>IF(W328&gt;0,INDEX(lerntab___0,W328,1),0)</f>
        <v>0</v>
      </c>
      <c r="Y328" s="141">
        <f>ROUND(X328*I328,0)</f>
        <v>0</v>
      </c>
      <c r="Z328" s="155"/>
      <c r="AA328" s="131" t="s">
        <v>762</v>
      </c>
      <c r="AB328" s="137"/>
      <c r="AC328" s="138"/>
      <c r="AD328" s="139"/>
      <c r="AE328" s="140">
        <f>IF(AD328&gt;0,INDEX(lerntab___0,AD328,1),0)</f>
        <v>0</v>
      </c>
      <c r="AF328" s="141">
        <f>ROUND(AE328*R328,0)</f>
        <v>0</v>
      </c>
      <c r="AH328" s="155"/>
      <c r="AJ328" s="4"/>
      <c r="AN328" s="146">
        <f>IF(LEFT(C328,1)="A",Y328,0)</f>
        <v>0</v>
      </c>
      <c r="AO328" s="146">
        <f>IF(LEFT(C328,1)="K",Y328,0)</f>
        <v>0</v>
      </c>
      <c r="AP328" s="146">
        <f>IF(LEFT(C328,1)="M",Y328,0)</f>
        <v>0</v>
      </c>
      <c r="AQ328" s="146"/>
      <c r="AR328" s="146">
        <f>IF(LEFT(M328,1)="A",AF328,0)</f>
        <v>0</v>
      </c>
      <c r="AS328" s="146">
        <f>IF(LEFT(M328,1)="K",AF328,0)</f>
        <v>0</v>
      </c>
      <c r="AT328" s="146">
        <f>IF(LEFT(M328,1)="M",AF328,0)</f>
        <v>0</v>
      </c>
      <c r="IU328"/>
      <c r="IV328"/>
    </row>
    <row r="329" spans="1:256" s="2" customFormat="1" ht="9" customHeight="1">
      <c r="A329" s="650" t="s">
        <v>763</v>
      </c>
      <c r="B329" s="651"/>
      <c r="C329" s="651"/>
      <c r="D329" s="652"/>
      <c r="E329" s="127"/>
      <c r="F329" s="555"/>
      <c r="G329" s="556"/>
      <c r="H329" s="556"/>
      <c r="I329" s="557"/>
      <c r="J329" s="131" t="s">
        <v>764</v>
      </c>
      <c r="K329" s="132"/>
      <c r="L329" s="132"/>
      <c r="M329" s="171" t="s">
        <v>750</v>
      </c>
      <c r="N329" s="150" t="s">
        <v>713</v>
      </c>
      <c r="O329" s="150">
        <v>80</v>
      </c>
      <c r="P329" s="135">
        <f>(3*Mt___0+2*Int)/5</f>
        <v>75</v>
      </c>
      <c r="Q329" s="135">
        <f>IF(P329&lt;50,450-6*P329,IF(P329&lt;100,250-2*P329,75-P329/4))</f>
        <v>100</v>
      </c>
      <c r="R329" s="569">
        <f>Q329*O329/100</f>
        <v>80</v>
      </c>
      <c r="T329" s="650" t="s">
        <v>763</v>
      </c>
      <c r="U329" s="137"/>
      <c r="V329" s="138"/>
      <c r="W329" s="153"/>
      <c r="X329" s="140">
        <f>IF(W329&gt;0,INDEX(lerntab___0,W329,1),0)</f>
        <v>0</v>
      </c>
      <c r="Y329" s="141">
        <f>ROUND(X329*I329,0)</f>
        <v>0</v>
      </c>
      <c r="Z329" s="155"/>
      <c r="AA329" s="131" t="s">
        <v>764</v>
      </c>
      <c r="AB329" s="137"/>
      <c r="AC329" s="138"/>
      <c r="AD329" s="139"/>
      <c r="AE329" s="140">
        <f>IF(AD329&gt;0,INDEX(lerntab___0,AD329,1),0)</f>
        <v>0</v>
      </c>
      <c r="AF329" s="141">
        <f>ROUND(AE329*R329,0)</f>
        <v>0</v>
      </c>
      <c r="AH329" s="155"/>
      <c r="AJ329" s="4"/>
      <c r="AN329" s="146">
        <f>IF(LEFT(C329,1)="A",Y329,0)</f>
        <v>0</v>
      </c>
      <c r="AO329" s="146">
        <f>IF(LEFT(C329,1)="K",Y329,0)</f>
        <v>0</v>
      </c>
      <c r="AP329" s="146">
        <f>IF(LEFT(C329,1)="M",Y329,0)</f>
        <v>0</v>
      </c>
      <c r="AQ329" s="146"/>
      <c r="AR329" s="146">
        <f>IF(LEFT(M329,1)="A",AF329,0)</f>
        <v>0</v>
      </c>
      <c r="AS329" s="146">
        <f>IF(LEFT(M329,1)="K",AF329,0)</f>
        <v>0</v>
      </c>
      <c r="AT329" s="146">
        <f>IF(LEFT(M329,1)="M",AF329,0)</f>
        <v>0</v>
      </c>
      <c r="IU329"/>
      <c r="IV329"/>
    </row>
    <row r="330" spans="1:256" s="2" customFormat="1" ht="9" customHeight="1">
      <c r="A330" s="479" t="s">
        <v>765</v>
      </c>
      <c r="B330" s="132"/>
      <c r="C330" s="132"/>
      <c r="D330" s="148"/>
      <c r="E330" s="148"/>
      <c r="F330" s="314"/>
      <c r="G330" s="490"/>
      <c r="H330" s="490"/>
      <c r="I330" s="130"/>
      <c r="J330" s="131" t="s">
        <v>766</v>
      </c>
      <c r="K330" s="132"/>
      <c r="L330" s="132"/>
      <c r="M330" s="171" t="s">
        <v>750</v>
      </c>
      <c r="N330" s="150" t="s">
        <v>713</v>
      </c>
      <c r="O330" s="150">
        <v>90</v>
      </c>
      <c r="P330" s="135">
        <f>(3*Mt___0+2*Int)/5</f>
        <v>75</v>
      </c>
      <c r="Q330" s="135">
        <f>IF(P330&lt;50,450-6*P330,IF(P330&lt;100,250-2*P330,75-P330/4))</f>
        <v>100</v>
      </c>
      <c r="R330" s="569">
        <f>Q330*O330/100</f>
        <v>90</v>
      </c>
      <c r="T330" s="479" t="s">
        <v>765</v>
      </c>
      <c r="U330" s="137"/>
      <c r="V330" s="211"/>
      <c r="W330" s="605"/>
      <c r="X330" s="182"/>
      <c r="Y330" s="183"/>
      <c r="Z330" s="155"/>
      <c r="AA330" s="131" t="s">
        <v>766</v>
      </c>
      <c r="AB330" s="137"/>
      <c r="AC330" s="138"/>
      <c r="AD330" s="139"/>
      <c r="AE330" s="140">
        <f>IF(AD330&gt;0,INDEX(lerntab___0,AD330,1),0)</f>
        <v>0</v>
      </c>
      <c r="AF330" s="141">
        <f>ROUND(AE330*R330,0)</f>
        <v>0</v>
      </c>
      <c r="AH330" s="155"/>
      <c r="AJ330" s="4"/>
      <c r="AN330" s="146">
        <f>IF(LEFT(C330,1)="A",Y330,0)</f>
        <v>0</v>
      </c>
      <c r="AO330" s="146">
        <f>IF(LEFT(C330,1)="K",Y330,0)</f>
        <v>0</v>
      </c>
      <c r="AP330" s="146">
        <f>IF(LEFT(C330,1)="M",Y330,0)</f>
        <v>0</v>
      </c>
      <c r="AQ330" s="146"/>
      <c r="AR330" s="146">
        <f>IF(LEFT(M330,1)="A",AF330,0)</f>
        <v>0</v>
      </c>
      <c r="AS330" s="146">
        <f>IF(LEFT(M330,1)="K",AF330,0)</f>
        <v>0</v>
      </c>
      <c r="AT330" s="146">
        <f>IF(LEFT(M330,1)="M",AF330,0)</f>
        <v>0</v>
      </c>
      <c r="IU330"/>
      <c r="IV330"/>
    </row>
    <row r="331" spans="1:256" s="2" customFormat="1" ht="9" customHeight="1">
      <c r="A331" s="131" t="s">
        <v>767</v>
      </c>
      <c r="B331" s="132"/>
      <c r="C331" s="132"/>
      <c r="D331" s="171" t="s">
        <v>768</v>
      </c>
      <c r="E331" s="134" t="s">
        <v>769</v>
      </c>
      <c r="F331" s="150">
        <v>5</v>
      </c>
      <c r="G331" s="135">
        <f>(3*Mt___0+Int+Kons)/5</f>
        <v>75</v>
      </c>
      <c r="H331" s="135">
        <f>IF(G331&lt;50,450-6*G331,IF(G331&lt;100,250-2*G331,75-G331/4))</f>
        <v>100</v>
      </c>
      <c r="I331" s="136">
        <f>H331*F331/100</f>
        <v>5</v>
      </c>
      <c r="J331" s="131" t="s">
        <v>770</v>
      </c>
      <c r="K331" s="132"/>
      <c r="L331" s="132"/>
      <c r="M331" s="171" t="s">
        <v>750</v>
      </c>
      <c r="N331" s="150" t="s">
        <v>713</v>
      </c>
      <c r="O331" s="150">
        <v>100</v>
      </c>
      <c r="P331" s="135">
        <f>(3*Mt___0+2*Int)/5</f>
        <v>75</v>
      </c>
      <c r="Q331" s="135">
        <f>IF(P331&lt;50,450-6*P331,IF(P331&lt;100,250-2*P331,75-P331/4))</f>
        <v>100</v>
      </c>
      <c r="R331" s="569">
        <f>Q331*O331/100</f>
        <v>100</v>
      </c>
      <c r="T331" s="131" t="s">
        <v>767</v>
      </c>
      <c r="U331" s="137"/>
      <c r="V331" s="138"/>
      <c r="W331" s="153"/>
      <c r="X331" s="140">
        <f>IF(W331&gt;0,INDEX(lerntab___0,W331,1),0)</f>
        <v>0</v>
      </c>
      <c r="Y331" s="141">
        <f>ROUND(X331*I331,0)</f>
        <v>0</v>
      </c>
      <c r="Z331" s="155"/>
      <c r="AA331" s="131" t="s">
        <v>770</v>
      </c>
      <c r="AB331" s="137"/>
      <c r="AC331" s="138"/>
      <c r="AD331" s="139"/>
      <c r="AE331" s="140">
        <f>IF(AD331&gt;0,INDEX(lerntab___0,AD331,1),0)</f>
        <v>0</v>
      </c>
      <c r="AF331" s="141">
        <f>ROUND(AE331*R331,0)</f>
        <v>0</v>
      </c>
      <c r="AH331" s="155"/>
      <c r="AJ331" s="4"/>
      <c r="AN331" s="146">
        <f>IF(LEFT(C331,1)="A",Y331,0)</f>
        <v>0</v>
      </c>
      <c r="AO331" s="146">
        <f>IF(LEFT(C331,1)="K",Y331,0)</f>
        <v>0</v>
      </c>
      <c r="AP331" s="146">
        <f>IF(LEFT(C331,1)="M",Y331,0)</f>
        <v>0</v>
      </c>
      <c r="AQ331" s="146"/>
      <c r="AR331" s="146">
        <f>IF(LEFT(M331,1)="A",AF331,0)</f>
        <v>0</v>
      </c>
      <c r="AS331" s="146">
        <f>IF(LEFT(M331,1)="K",AF331,0)</f>
        <v>0</v>
      </c>
      <c r="AT331" s="146">
        <f>IF(LEFT(M331,1)="M",AF331,0)</f>
        <v>0</v>
      </c>
      <c r="IU331"/>
      <c r="IV331"/>
    </row>
    <row r="332" spans="1:256" s="2" customFormat="1" ht="9" customHeight="1">
      <c r="A332" s="131" t="s">
        <v>771</v>
      </c>
      <c r="B332" s="132"/>
      <c r="C332" s="132"/>
      <c r="D332" s="171" t="s">
        <v>768</v>
      </c>
      <c r="E332" s="134" t="s">
        <v>769</v>
      </c>
      <c r="F332" s="134">
        <v>10</v>
      </c>
      <c r="G332" s="135">
        <f>(3*Mt___0+Int+Kons)/5</f>
        <v>75</v>
      </c>
      <c r="H332" s="135">
        <f>IF(G332&lt;50,450-6*G332,IF(G332&lt;100,250-2*G332,75-G332/4))</f>
        <v>100</v>
      </c>
      <c r="I332" s="136">
        <f>H332*F332/100</f>
        <v>10</v>
      </c>
      <c r="J332" s="131" t="s">
        <v>772</v>
      </c>
      <c r="K332" s="132"/>
      <c r="L332" s="132"/>
      <c r="M332" s="171" t="s">
        <v>750</v>
      </c>
      <c r="N332" s="150" t="s">
        <v>713</v>
      </c>
      <c r="O332" s="150">
        <v>110</v>
      </c>
      <c r="P332" s="135">
        <f>(3*Mt___0+2*Int)/5</f>
        <v>75</v>
      </c>
      <c r="Q332" s="135">
        <f>IF(P332&lt;50,450-6*P332,IF(P332&lt;100,250-2*P332,75-P332/4))</f>
        <v>100</v>
      </c>
      <c r="R332" s="569">
        <f>Q332*O332/100</f>
        <v>110</v>
      </c>
      <c r="T332" s="131" t="s">
        <v>771</v>
      </c>
      <c r="U332" s="137"/>
      <c r="V332" s="138"/>
      <c r="W332" s="153"/>
      <c r="X332" s="140">
        <f>IF(W332&gt;0,INDEX(lerntab___0,W332,1),0)</f>
        <v>0</v>
      </c>
      <c r="Y332" s="141">
        <f>ROUND(X332*I332,0)</f>
        <v>0</v>
      </c>
      <c r="Z332" s="155"/>
      <c r="AA332" s="131" t="s">
        <v>772</v>
      </c>
      <c r="AB332" s="137"/>
      <c r="AC332" s="138"/>
      <c r="AD332" s="139"/>
      <c r="AE332" s="140">
        <f>IF(AD332&gt;0,INDEX(lerntab___0,AD332,1),0)</f>
        <v>0</v>
      </c>
      <c r="AF332" s="141">
        <f>ROUND(AE332*R332,0)</f>
        <v>0</v>
      </c>
      <c r="AH332" s="155"/>
      <c r="AJ332" s="4"/>
      <c r="AN332" s="146">
        <f>IF(LEFT(C332,1)="A",Y332,0)</f>
        <v>0</v>
      </c>
      <c r="AO332" s="146">
        <f>IF(LEFT(C332,1)="K",Y332,0)</f>
        <v>0</v>
      </c>
      <c r="AP332" s="146">
        <f>IF(LEFT(C332,1)="M",Y332,0)</f>
        <v>0</v>
      </c>
      <c r="AQ332" s="146"/>
      <c r="AR332" s="146">
        <f>IF(LEFT(M332,1)="A",AF332,0)</f>
        <v>0</v>
      </c>
      <c r="AS332" s="146">
        <f>IF(LEFT(M332,1)="K",AF332,0)</f>
        <v>0</v>
      </c>
      <c r="AT332" s="146">
        <f>IF(LEFT(M332,1)="M",AF332,0)</f>
        <v>0</v>
      </c>
      <c r="IU332"/>
      <c r="IV332"/>
    </row>
    <row r="333" spans="1:256" s="2" customFormat="1" ht="9" customHeight="1">
      <c r="A333" s="131" t="s">
        <v>773</v>
      </c>
      <c r="B333" s="132"/>
      <c r="C333" s="133"/>
      <c r="D333" s="171" t="s">
        <v>768</v>
      </c>
      <c r="E333" s="134" t="s">
        <v>769</v>
      </c>
      <c r="F333" s="134">
        <v>15</v>
      </c>
      <c r="G333" s="135">
        <f>(3*Mt___0+Int+Kons)/5</f>
        <v>75</v>
      </c>
      <c r="H333" s="135">
        <f>IF(G333&lt;50,450-6*G333,IF(G333&lt;100,250-2*G333,75-G333/4))</f>
        <v>100</v>
      </c>
      <c r="I333" s="136">
        <f>H333*F333/100</f>
        <v>15</v>
      </c>
      <c r="J333" s="131" t="s">
        <v>774</v>
      </c>
      <c r="K333" s="132"/>
      <c r="L333" s="132"/>
      <c r="M333" s="171" t="s">
        <v>750</v>
      </c>
      <c r="N333" s="150" t="s">
        <v>713</v>
      </c>
      <c r="O333" s="150">
        <v>130</v>
      </c>
      <c r="P333" s="135">
        <f>(3*Mt___0+2*Int)/5</f>
        <v>75</v>
      </c>
      <c r="Q333" s="135">
        <f>IF(P333&lt;50,450-6*P333,IF(P333&lt;100,250-2*P333,75-P333/4))</f>
        <v>100</v>
      </c>
      <c r="R333" s="569">
        <f>Q333*O333/100</f>
        <v>130</v>
      </c>
      <c r="T333" s="131" t="s">
        <v>773</v>
      </c>
      <c r="U333" s="137"/>
      <c r="V333" s="138"/>
      <c r="W333" s="153"/>
      <c r="X333" s="140">
        <f>IF(W333&gt;0,INDEX(lerntab___0,W333,1),0)</f>
        <v>0</v>
      </c>
      <c r="Y333" s="141">
        <f>ROUND(X333*I333,0)</f>
        <v>0</v>
      </c>
      <c r="Z333" s="155"/>
      <c r="AA333" s="131" t="s">
        <v>774</v>
      </c>
      <c r="AB333" s="137"/>
      <c r="AC333" s="138"/>
      <c r="AD333" s="139"/>
      <c r="AE333" s="140">
        <f>IF(AD333&gt;0,INDEX(lerntab___0,AD333,1),0)</f>
        <v>0</v>
      </c>
      <c r="AF333" s="141">
        <f>ROUND(AE333*R333,0)</f>
        <v>0</v>
      </c>
      <c r="AI333" s="78"/>
      <c r="AJ333" s="4"/>
      <c r="AN333" s="146">
        <f>IF(LEFT(C333,1)="A",Y333,0)</f>
        <v>0</v>
      </c>
      <c r="AO333" s="146">
        <f>IF(LEFT(C333,1)="K",Y333,0)</f>
        <v>0</v>
      </c>
      <c r="AP333" s="146">
        <f>IF(LEFT(C333,1)="M",Y333,0)</f>
        <v>0</v>
      </c>
      <c r="AQ333" s="146"/>
      <c r="AR333" s="146">
        <f>IF(LEFT(M333,1)="A",AF333,0)</f>
        <v>0</v>
      </c>
      <c r="AS333" s="146">
        <f>IF(LEFT(M333,1)="K",AF333,0)</f>
        <v>0</v>
      </c>
      <c r="AT333" s="146">
        <f>IF(LEFT(M333,1)="M",AF333,0)</f>
        <v>0</v>
      </c>
      <c r="IU333"/>
      <c r="IV333"/>
    </row>
    <row r="334" spans="1:256" s="2" customFormat="1" ht="9" customHeight="1">
      <c r="A334" s="479" t="s">
        <v>775</v>
      </c>
      <c r="B334" s="132"/>
      <c r="C334" s="132"/>
      <c r="D334" s="168"/>
      <c r="E334" s="148"/>
      <c r="F334" s="314"/>
      <c r="G334" s="490"/>
      <c r="H334" s="490"/>
      <c r="I334" s="130"/>
      <c r="J334" s="131" t="s">
        <v>776</v>
      </c>
      <c r="K334" s="132"/>
      <c r="L334" s="132"/>
      <c r="M334" s="171" t="s">
        <v>750</v>
      </c>
      <c r="N334" s="150" t="s">
        <v>713</v>
      </c>
      <c r="O334" s="150">
        <v>150</v>
      </c>
      <c r="P334" s="135">
        <f>(3*Mt___0+2*Int)/5</f>
        <v>75</v>
      </c>
      <c r="Q334" s="135">
        <f>IF(P334&lt;50,450-6*P334,IF(P334&lt;100,250-2*P334,75-P334/4))</f>
        <v>100</v>
      </c>
      <c r="R334" s="569">
        <f>Q334*O334/100</f>
        <v>150</v>
      </c>
      <c r="T334" s="479" t="s">
        <v>775</v>
      </c>
      <c r="U334" s="137"/>
      <c r="V334" s="211"/>
      <c r="W334" s="605"/>
      <c r="X334" s="182"/>
      <c r="Y334" s="183"/>
      <c r="Z334" s="155"/>
      <c r="AA334" s="131" t="s">
        <v>776</v>
      </c>
      <c r="AB334" s="137"/>
      <c r="AC334" s="138"/>
      <c r="AD334" s="139"/>
      <c r="AE334" s="140">
        <f>IF(AD334&gt;0,INDEX(lerntab___0,AD334,1),0)</f>
        <v>0</v>
      </c>
      <c r="AF334" s="141">
        <f>ROUND(AE334*R334,0)</f>
        <v>0</v>
      </c>
      <c r="AI334" s="78"/>
      <c r="AJ334" s="4"/>
      <c r="AN334" s="146">
        <f>IF(LEFT(C334,1)="A",Y334,0)</f>
        <v>0</v>
      </c>
      <c r="AO334" s="146">
        <f>IF(LEFT(C334,1)="K",Y334,0)</f>
        <v>0</v>
      </c>
      <c r="AP334" s="146">
        <f>IF(LEFT(C334,1)="M",Y334,0)</f>
        <v>0</v>
      </c>
      <c r="AQ334" s="146"/>
      <c r="AR334" s="146">
        <f>IF(LEFT(M334,1)="A",AF334,0)</f>
        <v>0</v>
      </c>
      <c r="AS334" s="146">
        <f>IF(LEFT(M334,1)="K",AF334,0)</f>
        <v>0</v>
      </c>
      <c r="AT334" s="146">
        <f>IF(LEFT(M334,1)="M",AF334,0)</f>
        <v>0</v>
      </c>
      <c r="IU334"/>
      <c r="IV334"/>
    </row>
    <row r="335" spans="1:256" s="2" customFormat="1" ht="9" customHeight="1">
      <c r="A335" s="131" t="s">
        <v>777</v>
      </c>
      <c r="B335" s="132"/>
      <c r="C335" s="133"/>
      <c r="D335" s="171" t="s">
        <v>778</v>
      </c>
      <c r="E335" s="134">
        <v>-10</v>
      </c>
      <c r="F335" s="134">
        <v>10</v>
      </c>
      <c r="G335" s="135">
        <f>(3*Mt___0+Int+Kons)/5</f>
        <v>75</v>
      </c>
      <c r="H335" s="135">
        <f>IF(G335&lt;50,450-6*G335,IF(G335&lt;100,250-2*G335,75-G335/4))</f>
        <v>100</v>
      </c>
      <c r="I335" s="136">
        <f>H335*F335/100</f>
        <v>10</v>
      </c>
      <c r="J335" s="131" t="s">
        <v>779</v>
      </c>
      <c r="K335" s="132"/>
      <c r="L335" s="132"/>
      <c r="M335" s="171" t="s">
        <v>750</v>
      </c>
      <c r="N335" s="150" t="s">
        <v>713</v>
      </c>
      <c r="O335" s="150">
        <v>170</v>
      </c>
      <c r="P335" s="135">
        <f>(3*Mt___0+2*Int)/5</f>
        <v>75</v>
      </c>
      <c r="Q335" s="135">
        <f>IF(P335&lt;50,450-6*P335,IF(P335&lt;100,250-2*P335,75-P335/4))</f>
        <v>100</v>
      </c>
      <c r="R335" s="569">
        <f>Q335*O335/100</f>
        <v>170</v>
      </c>
      <c r="T335" s="131" t="s">
        <v>777</v>
      </c>
      <c r="U335" s="137"/>
      <c r="V335" s="138"/>
      <c r="W335" s="153"/>
      <c r="X335" s="140">
        <f>IF(W335&gt;0,INDEX(lerntab___0,W335,1),0)</f>
        <v>0</v>
      </c>
      <c r="Y335" s="141">
        <f>ROUND(X335*I335,0)</f>
        <v>0</v>
      </c>
      <c r="Z335" s="155"/>
      <c r="AA335" s="131" t="s">
        <v>779</v>
      </c>
      <c r="AB335" s="137"/>
      <c r="AC335" s="138"/>
      <c r="AD335" s="139"/>
      <c r="AE335" s="140">
        <f>IF(AD335&gt;0,INDEX(lerntab___0,AD335,1),0)</f>
        <v>0</v>
      </c>
      <c r="AF335" s="141">
        <f>ROUND(AE335*R335,0)</f>
        <v>0</v>
      </c>
      <c r="AJ335" s="4"/>
      <c r="AN335" s="146">
        <f>IF(LEFT(C335,1)="A",Y335,0)</f>
        <v>0</v>
      </c>
      <c r="AO335" s="146">
        <f>IF(LEFT(C335,1)="K",Y335,0)</f>
        <v>0</v>
      </c>
      <c r="AP335" s="146">
        <f>IF(LEFT(C335,1)="M",Y335,0)</f>
        <v>0</v>
      </c>
      <c r="AQ335" s="146"/>
      <c r="AR335" s="146">
        <f>IF(LEFT(M335,1)="A",AF335,0)</f>
        <v>0</v>
      </c>
      <c r="AS335" s="146">
        <f>IF(LEFT(M335,1)="K",AF335,0)</f>
        <v>0</v>
      </c>
      <c r="AT335" s="146">
        <f>IF(LEFT(M335,1)="M",AF335,0)</f>
        <v>0</v>
      </c>
      <c r="IU335"/>
      <c r="IV335"/>
    </row>
    <row r="336" spans="1:256" s="2" customFormat="1" ht="9" customHeight="1">
      <c r="A336" s="131" t="s">
        <v>780</v>
      </c>
      <c r="B336" s="132"/>
      <c r="C336" s="133"/>
      <c r="D336" s="171" t="s">
        <v>778</v>
      </c>
      <c r="E336" s="134">
        <v>-10</v>
      </c>
      <c r="F336" s="134">
        <v>25</v>
      </c>
      <c r="G336" s="135">
        <f>(3*Mt___0+Int+Kons)/5</f>
        <v>75</v>
      </c>
      <c r="H336" s="135">
        <f>IF(G336&lt;50,450-6*G336,IF(G336&lt;100,250-2*G336,75-G336/4))</f>
        <v>100</v>
      </c>
      <c r="I336" s="136">
        <f>H336*F336/100</f>
        <v>25</v>
      </c>
      <c r="J336" s="131" t="s">
        <v>781</v>
      </c>
      <c r="K336" s="132"/>
      <c r="L336" s="132"/>
      <c r="M336" s="171" t="s">
        <v>750</v>
      </c>
      <c r="N336" s="150" t="s">
        <v>713</v>
      </c>
      <c r="O336" s="150">
        <v>180</v>
      </c>
      <c r="P336" s="135">
        <f>(3*Mt___0+2*Int)/5</f>
        <v>75</v>
      </c>
      <c r="Q336" s="135">
        <f>IF(P336&lt;50,450-6*P336,IF(P336&lt;100,250-2*P336,75-P336/4))</f>
        <v>100</v>
      </c>
      <c r="R336" s="569">
        <f>Q336*O336/100</f>
        <v>180</v>
      </c>
      <c r="T336" s="131" t="s">
        <v>780</v>
      </c>
      <c r="U336" s="137"/>
      <c r="V336" s="138"/>
      <c r="W336" s="153"/>
      <c r="X336" s="140">
        <f>IF(W336&gt;0,INDEX(lerntab___0,W336,1),0)</f>
        <v>0</v>
      </c>
      <c r="Y336" s="141">
        <f>ROUND(X336*I336,0)</f>
        <v>0</v>
      </c>
      <c r="Z336" s="155"/>
      <c r="AA336" s="131" t="s">
        <v>781</v>
      </c>
      <c r="AB336" s="137"/>
      <c r="AC336" s="138"/>
      <c r="AD336" s="139"/>
      <c r="AE336" s="140">
        <f>IF(AD336&gt;0,INDEX(lerntab___0,AD336,1),0)</f>
        <v>0</v>
      </c>
      <c r="AF336" s="141">
        <f>ROUND(AE336*R336,0)</f>
        <v>0</v>
      </c>
      <c r="AJ336" s="4"/>
      <c r="AN336" s="146">
        <f>IF(LEFT(C336,1)="A",Y336,0)</f>
        <v>0</v>
      </c>
      <c r="AO336" s="146">
        <f>IF(LEFT(C336,1)="K",Y336,0)</f>
        <v>0</v>
      </c>
      <c r="AP336" s="146">
        <f>IF(LEFT(C336,1)="M",Y336,0)</f>
        <v>0</v>
      </c>
      <c r="AQ336" s="146"/>
      <c r="AR336" s="146">
        <f>IF(LEFT(M336,1)="A",AF336,0)</f>
        <v>0</v>
      </c>
      <c r="AS336" s="146">
        <f>IF(LEFT(M336,1)="K",AF336,0)</f>
        <v>0</v>
      </c>
      <c r="AT336" s="146">
        <f>IF(LEFT(M336,1)="M",AF336,0)</f>
        <v>0</v>
      </c>
      <c r="IU336"/>
      <c r="IV336"/>
    </row>
    <row r="337" spans="1:256" s="2" customFormat="1" ht="9" customHeight="1">
      <c r="A337" s="131" t="s">
        <v>782</v>
      </c>
      <c r="B337" s="132"/>
      <c r="C337" s="133"/>
      <c r="D337" s="171" t="s">
        <v>778</v>
      </c>
      <c r="E337" s="134">
        <v>-10</v>
      </c>
      <c r="F337" s="134">
        <v>125</v>
      </c>
      <c r="G337" s="135">
        <f>(3*Mt___0+Int+Kons)/5</f>
        <v>75</v>
      </c>
      <c r="H337" s="135">
        <f>IF(G337&lt;50,450-6*G337,IF(G337&lt;100,250-2*G337,75-G337/4))</f>
        <v>100</v>
      </c>
      <c r="I337" s="136">
        <f>H337*F337/100</f>
        <v>125</v>
      </c>
      <c r="J337" s="131" t="s">
        <v>783</v>
      </c>
      <c r="K337" s="132"/>
      <c r="L337" s="132"/>
      <c r="M337" s="171" t="s">
        <v>750</v>
      </c>
      <c r="N337" s="150" t="s">
        <v>713</v>
      </c>
      <c r="O337" s="150">
        <v>190</v>
      </c>
      <c r="P337" s="135">
        <f>(3*Mt___0+2*Int)/5</f>
        <v>75</v>
      </c>
      <c r="Q337" s="135">
        <f>IF(P337&lt;50,450-6*P337,IF(P337&lt;100,250-2*P337,75-P337/4))</f>
        <v>100</v>
      </c>
      <c r="R337" s="569">
        <f>Q337*O337/100</f>
        <v>190</v>
      </c>
      <c r="T337" s="131" t="s">
        <v>782</v>
      </c>
      <c r="U337" s="137"/>
      <c r="V337" s="138"/>
      <c r="W337" s="153"/>
      <c r="X337" s="140">
        <f>IF(W337&gt;0,INDEX(lerntab___0,W337,1),0)</f>
        <v>0</v>
      </c>
      <c r="Y337" s="141">
        <f>ROUND(X337*I337,0)</f>
        <v>0</v>
      </c>
      <c r="Z337" s="155"/>
      <c r="AA337" s="131" t="s">
        <v>783</v>
      </c>
      <c r="AB337" s="137"/>
      <c r="AC337" s="138"/>
      <c r="AD337" s="139"/>
      <c r="AE337" s="140">
        <f>IF(AD337&gt;0,INDEX(lerntab___0,AD337,1),0)</f>
        <v>0</v>
      </c>
      <c r="AF337" s="141">
        <f>ROUND(AE337*R337,0)</f>
        <v>0</v>
      </c>
      <c r="AJ337" s="4"/>
      <c r="AN337" s="146">
        <f>IF(LEFT(C337,1)="A",Y337,0)</f>
        <v>0</v>
      </c>
      <c r="AO337" s="146">
        <f>IF(LEFT(C337,1)="K",Y337,0)</f>
        <v>0</v>
      </c>
      <c r="AP337" s="146">
        <f>IF(LEFT(C337,1)="M",Y337,0)</f>
        <v>0</v>
      </c>
      <c r="AQ337" s="146"/>
      <c r="AR337" s="146">
        <f>IF(LEFT(M337,1)="A",AF337,0)</f>
        <v>0</v>
      </c>
      <c r="AS337" s="146">
        <f>IF(LEFT(M337,1)="K",AF337,0)</f>
        <v>0</v>
      </c>
      <c r="AT337" s="146">
        <f>IF(LEFT(M337,1)="M",AF337,0)</f>
        <v>0</v>
      </c>
      <c r="IU337"/>
      <c r="IV337"/>
    </row>
    <row r="338" spans="1:256" s="2" customFormat="1" ht="9" customHeight="1">
      <c r="A338" s="479" t="s">
        <v>784</v>
      </c>
      <c r="B338" s="132"/>
      <c r="C338" s="132"/>
      <c r="D338" s="168"/>
      <c r="E338" s="148"/>
      <c r="F338" s="314"/>
      <c r="G338" s="490"/>
      <c r="H338" s="490"/>
      <c r="I338" s="130"/>
      <c r="J338" s="131" t="s">
        <v>785</v>
      </c>
      <c r="K338" s="132"/>
      <c r="L338" s="132"/>
      <c r="M338" s="171" t="s">
        <v>750</v>
      </c>
      <c r="N338" s="150" t="s">
        <v>713</v>
      </c>
      <c r="O338" s="150">
        <v>200</v>
      </c>
      <c r="P338" s="135">
        <f>(3*Mt___0+2*Int)/5</f>
        <v>75</v>
      </c>
      <c r="Q338" s="135">
        <f>IF(P338&lt;50,450-6*P338,IF(P338&lt;100,250-2*P338,75-P338/4))</f>
        <v>100</v>
      </c>
      <c r="R338" s="569">
        <f>Q338*O338/100</f>
        <v>200</v>
      </c>
      <c r="T338" s="479" t="s">
        <v>784</v>
      </c>
      <c r="U338" s="137"/>
      <c r="V338" s="211"/>
      <c r="W338" s="605"/>
      <c r="X338" s="182"/>
      <c r="Y338" s="183"/>
      <c r="Z338" s="155"/>
      <c r="AA338" s="131" t="s">
        <v>785</v>
      </c>
      <c r="AB338" s="137"/>
      <c r="AC338" s="138"/>
      <c r="AD338" s="139"/>
      <c r="AE338" s="140">
        <f>IF(AD338&gt;0,INDEX(lerntab___0,AD338,1),0)</f>
        <v>0</v>
      </c>
      <c r="AF338" s="141">
        <f>ROUND(AE338*R338,0)</f>
        <v>0</v>
      </c>
      <c r="AJ338" s="4"/>
      <c r="AN338" s="146">
        <f>IF(LEFT(C338,1)="A",Y338,0)</f>
        <v>0</v>
      </c>
      <c r="AO338" s="146">
        <f>IF(LEFT(C338,1)="K",Y338,0)</f>
        <v>0</v>
      </c>
      <c r="AP338" s="146">
        <f>IF(LEFT(C338,1)="M",Y338,0)</f>
        <v>0</v>
      </c>
      <c r="AQ338" s="146"/>
      <c r="AR338" s="146">
        <f>IF(LEFT(M338,1)="A",AF338,0)</f>
        <v>0</v>
      </c>
      <c r="AS338" s="146">
        <f>IF(LEFT(M338,1)="K",AF338,0)</f>
        <v>0</v>
      </c>
      <c r="AT338" s="146">
        <f>IF(LEFT(M338,1)="M",AF338,0)</f>
        <v>0</v>
      </c>
      <c r="IU338"/>
      <c r="IV338"/>
    </row>
    <row r="339" spans="1:256" s="2" customFormat="1" ht="9" customHeight="1">
      <c r="A339" s="131" t="s">
        <v>786</v>
      </c>
      <c r="B339" s="132"/>
      <c r="C339" s="133"/>
      <c r="D339" s="171" t="s">
        <v>676</v>
      </c>
      <c r="E339" s="134">
        <v>10</v>
      </c>
      <c r="F339" s="134">
        <v>50</v>
      </c>
      <c r="G339" s="135">
        <f>(3*Mt___0+Int+Kons)/5</f>
        <v>75</v>
      </c>
      <c r="H339" s="135">
        <f>IF(G339&lt;50,450-6*G339,IF(G339&lt;100,250-2*G339,75-G339/4))</f>
        <v>100</v>
      </c>
      <c r="I339" s="136">
        <f>H339*F339/100</f>
        <v>50</v>
      </c>
      <c r="J339" s="131" t="s">
        <v>787</v>
      </c>
      <c r="K339" s="132"/>
      <c r="L339" s="132"/>
      <c r="M339" s="171" t="s">
        <v>750</v>
      </c>
      <c r="N339" s="150" t="s">
        <v>713</v>
      </c>
      <c r="O339" s="150">
        <v>225</v>
      </c>
      <c r="P339" s="135">
        <f>(3*Mt___0+2*Int)/5</f>
        <v>75</v>
      </c>
      <c r="Q339" s="135">
        <f>IF(P339&lt;50,450-6*P339,IF(P339&lt;100,250-2*P339,75-P339/4))</f>
        <v>100</v>
      </c>
      <c r="R339" s="569">
        <f>Q339*O339/100</f>
        <v>225</v>
      </c>
      <c r="T339" s="131" t="s">
        <v>786</v>
      </c>
      <c r="U339" s="137"/>
      <c r="V339" s="138"/>
      <c r="W339" s="153"/>
      <c r="X339" s="140">
        <f>IF(W339&gt;0,INDEX(lerntab___0,W339,1),0)</f>
        <v>0</v>
      </c>
      <c r="Y339" s="141">
        <f>ROUND(X339*I339,0)</f>
        <v>0</v>
      </c>
      <c r="Z339" s="155"/>
      <c r="AA339" s="131" t="s">
        <v>787</v>
      </c>
      <c r="AB339" s="137"/>
      <c r="AC339" s="138"/>
      <c r="AD339" s="139"/>
      <c r="AE339" s="140">
        <f>IF(AD339&gt;0,INDEX(lerntab___0,AD339,1),0)</f>
        <v>0</v>
      </c>
      <c r="AF339" s="141">
        <f>ROUND(AE339*R339,0)</f>
        <v>0</v>
      </c>
      <c r="AJ339" s="4"/>
      <c r="AN339" s="146">
        <f>IF(LEFT(C339,1)="A",Y339,0)</f>
        <v>0</v>
      </c>
      <c r="AO339" s="146">
        <f>IF(LEFT(C339,1)="K",Y339,0)</f>
        <v>0</v>
      </c>
      <c r="AP339" s="146">
        <f>IF(LEFT(C339,1)="M",Y339,0)</f>
        <v>0</v>
      </c>
      <c r="AQ339" s="146"/>
      <c r="AR339" s="146">
        <f>IF(LEFT(M339,1)="A",AF339,0)</f>
        <v>0</v>
      </c>
      <c r="AS339" s="146">
        <f>IF(LEFT(M339,1)="K",AF339,0)</f>
        <v>0</v>
      </c>
      <c r="AT339" s="146">
        <f>IF(LEFT(M339,1)="M",AF339,0)</f>
        <v>0</v>
      </c>
      <c r="IU339"/>
      <c r="IV339"/>
    </row>
    <row r="340" spans="1:256" s="2" customFormat="1" ht="9" customHeight="1">
      <c r="A340" s="131" t="s">
        <v>788</v>
      </c>
      <c r="B340" s="132"/>
      <c r="C340" s="133"/>
      <c r="D340" s="171" t="s">
        <v>676</v>
      </c>
      <c r="E340" s="134">
        <v>30</v>
      </c>
      <c r="F340" s="134">
        <v>75</v>
      </c>
      <c r="G340" s="135">
        <f>(3*Mt___0+Int+Kons)/5</f>
        <v>75</v>
      </c>
      <c r="H340" s="135">
        <f>IF(G340&lt;50,450-6*G340,IF(G340&lt;100,250-2*G340,75-G340/4))</f>
        <v>100</v>
      </c>
      <c r="I340" s="136">
        <f>H340*F340/100</f>
        <v>75</v>
      </c>
      <c r="J340" s="479" t="s">
        <v>789</v>
      </c>
      <c r="K340" s="132"/>
      <c r="L340" s="132"/>
      <c r="M340" s="168"/>
      <c r="N340" s="148"/>
      <c r="O340" s="314"/>
      <c r="P340" s="490"/>
      <c r="Q340" s="490"/>
      <c r="R340" s="130"/>
      <c r="T340" s="131" t="s">
        <v>788</v>
      </c>
      <c r="U340" s="137"/>
      <c r="V340" s="138"/>
      <c r="W340" s="153"/>
      <c r="X340" s="140">
        <f>IF(W340&gt;0,INDEX(lerntab___0,W340,1),0)</f>
        <v>0</v>
      </c>
      <c r="Y340" s="141">
        <f>ROUND(X340*I340,0)</f>
        <v>0</v>
      </c>
      <c r="Z340" s="155"/>
      <c r="AA340" s="479" t="s">
        <v>789</v>
      </c>
      <c r="AB340" s="137"/>
      <c r="AC340" s="211"/>
      <c r="AD340" s="212"/>
      <c r="AE340" s="182"/>
      <c r="AF340" s="183"/>
      <c r="AJ340" s="4"/>
      <c r="AN340" s="146">
        <f>IF(LEFT(C340,1)="A",Y340,0)</f>
        <v>0</v>
      </c>
      <c r="AO340" s="146">
        <f>IF(LEFT(C340,1)="K",Y340,0)</f>
        <v>0</v>
      </c>
      <c r="AP340" s="146">
        <f>IF(LEFT(C340,1)="M",Y340,0)</f>
        <v>0</v>
      </c>
      <c r="AQ340" s="146"/>
      <c r="AR340" s="146">
        <f>IF(LEFT(M340,1)="A",AF340,0)</f>
        <v>0</v>
      </c>
      <c r="AS340" s="146">
        <f>IF(LEFT(M340,1)="K",AF340,0)</f>
        <v>0</v>
      </c>
      <c r="AT340" s="146">
        <f>IF(LEFT(M340,1)="M",AF340,0)</f>
        <v>0</v>
      </c>
      <c r="IU340"/>
      <c r="IV340"/>
    </row>
    <row r="341" spans="1:256" s="2" customFormat="1" ht="9" customHeight="1">
      <c r="A341" s="131" t="s">
        <v>790</v>
      </c>
      <c r="B341" s="132"/>
      <c r="C341" s="133"/>
      <c r="D341" s="171" t="s">
        <v>676</v>
      </c>
      <c r="E341" s="134">
        <v>30</v>
      </c>
      <c r="F341" s="134">
        <v>100</v>
      </c>
      <c r="G341" s="135">
        <f>(3*Mt___0+Int+Kons)/5</f>
        <v>75</v>
      </c>
      <c r="H341" s="135">
        <f>IF(G341&lt;50,450-6*G341,IF(G341&lt;100,250-2*G341,75-G341/4))</f>
        <v>100</v>
      </c>
      <c r="I341" s="136">
        <f>H341*F341/100</f>
        <v>100</v>
      </c>
      <c r="J341" s="131" t="s">
        <v>791</v>
      </c>
      <c r="K341" s="132"/>
      <c r="L341" s="133"/>
      <c r="M341" s="171" t="s">
        <v>676</v>
      </c>
      <c r="N341" s="134">
        <v>40</v>
      </c>
      <c r="O341" s="134">
        <v>50</v>
      </c>
      <c r="P341" s="135">
        <f>(3*Mt___0+Int+Kons)/5</f>
        <v>75</v>
      </c>
      <c r="Q341" s="135">
        <f>IF(P341&lt;50,450-6*P341,IF(P341&lt;100,250-2*P341,75-P341/4))</f>
        <v>100</v>
      </c>
      <c r="R341" s="136">
        <f>Q341*O341/100</f>
        <v>50</v>
      </c>
      <c r="T341" s="131" t="s">
        <v>790</v>
      </c>
      <c r="U341" s="137"/>
      <c r="V341" s="138"/>
      <c r="W341" s="153"/>
      <c r="X341" s="140">
        <f>IF(W341&gt;0,INDEX(lerntab___0,W341,1),0)</f>
        <v>0</v>
      </c>
      <c r="Y341" s="141">
        <f>ROUND(X341*I341,0)</f>
        <v>0</v>
      </c>
      <c r="Z341" s="155"/>
      <c r="AA341" s="131" t="s">
        <v>791</v>
      </c>
      <c r="AB341" s="137"/>
      <c r="AC341" s="138"/>
      <c r="AD341" s="139"/>
      <c r="AE341" s="140">
        <f>IF(AD341&gt;0,INDEX(lerntab___0,AD341,1),0)</f>
        <v>0</v>
      </c>
      <c r="AF341" s="141">
        <f>ROUND(AE341*R341,0)</f>
        <v>0</v>
      </c>
      <c r="AJ341" s="4"/>
      <c r="AN341" s="146">
        <f>IF(LEFT(C341,1)="A",Y341,0)</f>
        <v>0</v>
      </c>
      <c r="AO341" s="146">
        <f>IF(LEFT(C341,1)="K",Y341,0)</f>
        <v>0</v>
      </c>
      <c r="AP341" s="146">
        <f>IF(LEFT(C341,1)="M",Y341,0)</f>
        <v>0</v>
      </c>
      <c r="AQ341" s="146"/>
      <c r="AR341" s="146">
        <f>IF(LEFT(M341,1)="A",AF341,0)</f>
        <v>0</v>
      </c>
      <c r="AS341" s="146">
        <f>IF(LEFT(M341,1)="K",AF341,0)</f>
        <v>0</v>
      </c>
      <c r="AT341" s="146">
        <f>IF(LEFT(M341,1)="M",AF341,0)</f>
        <v>0</v>
      </c>
      <c r="IU341"/>
      <c r="IV341"/>
    </row>
    <row r="342" spans="1:256" s="2" customFormat="1" ht="9" customHeight="1">
      <c r="A342" s="666" t="s">
        <v>792</v>
      </c>
      <c r="B342" s="667"/>
      <c r="C342" s="667"/>
      <c r="D342" s="667"/>
      <c r="E342" s="667"/>
      <c r="F342" s="667"/>
      <c r="G342" s="667"/>
      <c r="H342" s="667"/>
      <c r="I342" s="668"/>
      <c r="J342" s="588" t="s">
        <v>793</v>
      </c>
      <c r="K342" s="529"/>
      <c r="L342" s="511"/>
      <c r="M342" s="622" t="s">
        <v>676</v>
      </c>
      <c r="N342" s="589" t="s">
        <v>713</v>
      </c>
      <c r="O342" s="589">
        <v>60</v>
      </c>
      <c r="P342" s="514">
        <f>(3*Mt___0+Int+Kons)/5</f>
        <v>75</v>
      </c>
      <c r="Q342" s="514">
        <f>IF(P342&lt;50,450-6*P342,IF(P342&lt;100,250-2*P342,75-P342/4))</f>
        <v>100</v>
      </c>
      <c r="R342" s="515">
        <f>Q342*O342/100</f>
        <v>60</v>
      </c>
      <c r="T342"/>
      <c r="U342"/>
      <c r="V342"/>
      <c r="W342"/>
      <c r="X342"/>
      <c r="Y342"/>
      <c r="Z342" s="155"/>
      <c r="AA342" s="131" t="s">
        <v>793</v>
      </c>
      <c r="AB342" s="137"/>
      <c r="AC342" s="138"/>
      <c r="AD342" s="139"/>
      <c r="AE342" s="140">
        <f>IF(AD342&gt;0,INDEX(lerntab___0,AD342,1),0)</f>
        <v>0</v>
      </c>
      <c r="AF342" s="141">
        <f>ROUND(AE342*R342,0)</f>
        <v>0</v>
      </c>
      <c r="AJ342" s="4"/>
      <c r="AN342" s="146">
        <f>IF(LEFT(C342,1)="A",Y342,0)</f>
        <v>0</v>
      </c>
      <c r="AO342" s="146">
        <f>IF(LEFT(C342,1)="K",Y342,0)</f>
        <v>0</v>
      </c>
      <c r="AP342" s="146">
        <f>IF(LEFT(C342,1)="M",Y342,0)</f>
        <v>0</v>
      </c>
      <c r="AQ342" s="146"/>
      <c r="AR342" s="146">
        <f>IF(LEFT(M342,1)="A",AF342,0)</f>
        <v>0</v>
      </c>
      <c r="AS342" s="146">
        <f>IF(LEFT(M342,1)="K",AF342,0)</f>
        <v>0</v>
      </c>
      <c r="AT342" s="146">
        <f>IF(LEFT(M342,1)="M",AF342,0)</f>
        <v>0</v>
      </c>
      <c r="IU342"/>
      <c r="IV342"/>
    </row>
    <row r="343" spans="1:256" s="2" customFormat="1" ht="9" customHeight="1">
      <c r="A343"/>
      <c r="B343"/>
      <c r="C343"/>
      <c r="D343"/>
      <c r="E343"/>
      <c r="F343"/>
      <c r="G343"/>
      <c r="H343"/>
      <c r="I343"/>
      <c r="J343" s="4"/>
      <c r="K343" s="4"/>
      <c r="L343" s="4"/>
      <c r="T343"/>
      <c r="U343"/>
      <c r="V343"/>
      <c r="W343"/>
      <c r="X343"/>
      <c r="Y343"/>
      <c r="Z343"/>
      <c r="AA343"/>
      <c r="AB343"/>
      <c r="AJ343" s="4"/>
      <c r="IU343"/>
      <c r="IV343"/>
    </row>
    <row r="344" spans="1:256" s="2" customFormat="1" ht="7.5" customHeight="1">
      <c r="A344" s="155" t="s">
        <v>794</v>
      </c>
      <c r="E344" s="5"/>
      <c r="F344" s="5"/>
      <c r="G344" s="4"/>
      <c r="H344" s="4"/>
      <c r="I344" s="4"/>
      <c r="J344" s="4"/>
      <c r="K344" s="4"/>
      <c r="L344" s="4"/>
      <c r="T344"/>
      <c r="U344"/>
      <c r="V344"/>
      <c r="W344"/>
      <c r="X344"/>
      <c r="Y344"/>
      <c r="Z344"/>
      <c r="AA344"/>
      <c r="AB344"/>
      <c r="AJ344" s="4"/>
      <c r="IU344"/>
      <c r="IV344"/>
    </row>
    <row r="345" spans="1:256" s="2" customFormat="1" ht="7.5" customHeight="1">
      <c r="A345" s="669" t="s">
        <v>49</v>
      </c>
      <c r="B345" s="670" t="s">
        <v>50</v>
      </c>
      <c r="E345" s="5"/>
      <c r="F345" s="5"/>
      <c r="G345" s="4"/>
      <c r="H345" s="4"/>
      <c r="I345" s="4"/>
      <c r="J345" s="4"/>
      <c r="K345" s="4"/>
      <c r="L345" s="4"/>
      <c r="T345"/>
      <c r="U345"/>
      <c r="V345"/>
      <c r="W345"/>
      <c r="X345"/>
      <c r="Y345"/>
      <c r="Z345"/>
      <c r="AA345"/>
      <c r="AB345"/>
      <c r="AJ345" s="4"/>
      <c r="IU345"/>
      <c r="IV345"/>
    </row>
    <row r="346" spans="1:256" s="2" customFormat="1" ht="7.5" customHeight="1">
      <c r="A346" s="670">
        <v>1</v>
      </c>
      <c r="B346" s="670">
        <v>1</v>
      </c>
      <c r="E346" s="5"/>
      <c r="F346" s="5"/>
      <c r="G346" s="4"/>
      <c r="H346" s="4"/>
      <c r="I346" s="4"/>
      <c r="J346" s="4"/>
      <c r="K346" s="4"/>
      <c r="L346" s="4"/>
      <c r="T346"/>
      <c r="U346"/>
      <c r="V346"/>
      <c r="W346"/>
      <c r="X346"/>
      <c r="Y346"/>
      <c r="Z346"/>
      <c r="AA346"/>
      <c r="AB346"/>
      <c r="AJ346" s="4"/>
      <c r="IU346"/>
      <c r="IV346"/>
    </row>
    <row r="347" spans="1:256" s="2" customFormat="1" ht="7.5" customHeight="1">
      <c r="A347" s="670">
        <v>2</v>
      </c>
      <c r="B347" s="670">
        <v>2</v>
      </c>
      <c r="E347" s="5"/>
      <c r="F347" s="5"/>
      <c r="G347" s="4"/>
      <c r="H347" s="4"/>
      <c r="I347" s="4"/>
      <c r="J347" s="4"/>
      <c r="K347" s="4"/>
      <c r="L347" s="4"/>
      <c r="T347"/>
      <c r="U347"/>
      <c r="V347"/>
      <c r="W347"/>
      <c r="X347"/>
      <c r="Y347"/>
      <c r="Z347"/>
      <c r="AA347"/>
      <c r="AB347"/>
      <c r="AJ347" s="4"/>
      <c r="IU347"/>
      <c r="IV347"/>
    </row>
    <row r="348" spans="1:256" s="2" customFormat="1" ht="7.5" customHeight="1">
      <c r="A348" s="670">
        <v>3</v>
      </c>
      <c r="B348" s="670">
        <v>3</v>
      </c>
      <c r="E348" s="5"/>
      <c r="F348" s="5"/>
      <c r="G348" s="4"/>
      <c r="H348" s="4"/>
      <c r="I348" s="4"/>
      <c r="J348" s="4"/>
      <c r="K348" s="4"/>
      <c r="L348" s="4"/>
      <c r="T348"/>
      <c r="U348"/>
      <c r="V348"/>
      <c r="W348"/>
      <c r="X348"/>
      <c r="Y348"/>
      <c r="Z348"/>
      <c r="AA348"/>
      <c r="AB348"/>
      <c r="AJ348" s="4"/>
      <c r="IU348"/>
      <c r="IV348"/>
    </row>
    <row r="349" spans="1:256" s="2" customFormat="1" ht="7.5" customHeight="1">
      <c r="A349" s="670">
        <v>4</v>
      </c>
      <c r="B349" s="670">
        <v>4</v>
      </c>
      <c r="E349" s="5"/>
      <c r="F349" s="5"/>
      <c r="G349" s="4"/>
      <c r="H349" s="4"/>
      <c r="I349" s="4"/>
      <c r="J349" s="4"/>
      <c r="K349" s="4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J349" s="4"/>
      <c r="IU349"/>
      <c r="IV349"/>
    </row>
    <row r="350" spans="1:256" s="2" customFormat="1" ht="7.5" customHeight="1">
      <c r="A350" s="670">
        <v>5</v>
      </c>
      <c r="B350" s="670">
        <v>5</v>
      </c>
      <c r="E350" s="5"/>
      <c r="F350" s="5"/>
      <c r="G350" s="4"/>
      <c r="H350" s="4"/>
      <c r="I350" s="4"/>
      <c r="J350" s="4"/>
      <c r="K350" s="4"/>
      <c r="L350" s="4"/>
      <c r="T350"/>
      <c r="U350"/>
      <c r="V350"/>
      <c r="W350"/>
      <c r="X350"/>
      <c r="Y350"/>
      <c r="Z350"/>
      <c r="AA350"/>
      <c r="AB350"/>
      <c r="AJ350" s="4"/>
      <c r="IU350"/>
      <c r="IV350"/>
    </row>
    <row r="351" spans="1:256" s="2" customFormat="1" ht="7.5" customHeight="1">
      <c r="A351" s="670">
        <v>6</v>
      </c>
      <c r="B351" s="670">
        <v>6</v>
      </c>
      <c r="E351" s="5"/>
      <c r="F351" s="5"/>
      <c r="G351" s="4"/>
      <c r="H351" s="4"/>
      <c r="I351" s="4"/>
      <c r="J351" s="4"/>
      <c r="K351" s="4"/>
      <c r="L351" s="4"/>
      <c r="T351"/>
      <c r="U351"/>
      <c r="V351"/>
      <c r="W351"/>
      <c r="X351"/>
      <c r="Y351"/>
      <c r="Z351"/>
      <c r="AA351"/>
      <c r="AB351"/>
      <c r="AJ351" s="4"/>
      <c r="IU351"/>
      <c r="IV351"/>
    </row>
    <row r="352" spans="1:256" s="2" customFormat="1" ht="7.5" customHeight="1">
      <c r="A352" s="670">
        <v>7</v>
      </c>
      <c r="B352" s="670">
        <v>7</v>
      </c>
      <c r="E352" s="5"/>
      <c r="F352" s="5"/>
      <c r="G352" s="4"/>
      <c r="H352" s="4"/>
      <c r="I352" s="4"/>
      <c r="J352" s="4"/>
      <c r="K352" s="4"/>
      <c r="L352" s="4"/>
      <c r="T352"/>
      <c r="U352"/>
      <c r="V352"/>
      <c r="W352"/>
      <c r="X352"/>
      <c r="Y352"/>
      <c r="Z352"/>
      <c r="AA352"/>
      <c r="AB352"/>
      <c r="AJ352" s="4"/>
      <c r="IU352"/>
      <c r="IV352"/>
    </row>
    <row r="353" spans="1:256" s="2" customFormat="1" ht="7.5" customHeight="1">
      <c r="A353" s="670">
        <v>8</v>
      </c>
      <c r="B353" s="670">
        <v>8</v>
      </c>
      <c r="E353" s="5"/>
      <c r="F353" s="5"/>
      <c r="G353" s="4"/>
      <c r="H353" s="4"/>
      <c r="I353" s="4"/>
      <c r="J353" s="4"/>
      <c r="K353" s="4"/>
      <c r="L353" s="4"/>
      <c r="T353"/>
      <c r="U353"/>
      <c r="V353"/>
      <c r="W353"/>
      <c r="X353"/>
      <c r="Y353"/>
      <c r="Z353"/>
      <c r="AA353"/>
      <c r="AB353"/>
      <c r="AJ353" s="4"/>
      <c r="IU353"/>
      <c r="IV353"/>
    </row>
    <row r="354" spans="1:256" s="2" customFormat="1" ht="7.5" customHeight="1">
      <c r="A354" s="670">
        <v>9</v>
      </c>
      <c r="B354" s="670">
        <v>9</v>
      </c>
      <c r="E354" s="5"/>
      <c r="F354" s="5"/>
      <c r="G354" s="4"/>
      <c r="H354" s="4"/>
      <c r="I354" s="4"/>
      <c r="J354" s="4"/>
      <c r="K354" s="4"/>
      <c r="L354" s="4"/>
      <c r="T354"/>
      <c r="U354"/>
      <c r="V354"/>
      <c r="W354"/>
      <c r="X354"/>
      <c r="Y354"/>
      <c r="Z354"/>
      <c r="AA354"/>
      <c r="AB354"/>
      <c r="AJ354" s="4"/>
      <c r="IU354"/>
      <c r="IV354"/>
    </row>
    <row r="355" spans="1:256" s="2" customFormat="1" ht="7.5" customHeight="1">
      <c r="A355" s="670">
        <v>10</v>
      </c>
      <c r="B355" s="670">
        <v>10</v>
      </c>
      <c r="E355" s="5"/>
      <c r="F355" s="5"/>
      <c r="G355" s="4"/>
      <c r="H355" s="4"/>
      <c r="I355" s="4"/>
      <c r="J355" s="4"/>
      <c r="K355" s="4"/>
      <c r="L355" s="4"/>
      <c r="Z355"/>
      <c r="AA355"/>
      <c r="AB355"/>
      <c r="AJ355" s="4"/>
      <c r="IU355"/>
      <c r="IV355"/>
    </row>
    <row r="356" spans="1:256" s="2" customFormat="1" ht="7.5" customHeight="1">
      <c r="A356" s="670">
        <v>11</v>
      </c>
      <c r="B356" s="670">
        <f>B355+2</f>
        <v>12</v>
      </c>
      <c r="E356" s="5"/>
      <c r="F356" s="5"/>
      <c r="G356" s="4"/>
      <c r="H356" s="4"/>
      <c r="I356" s="4"/>
      <c r="J356" s="4"/>
      <c r="K356" s="4"/>
      <c r="L356" s="4"/>
      <c r="Z356"/>
      <c r="AB356"/>
      <c r="AJ356" s="4"/>
      <c r="IU356"/>
      <c r="IV356"/>
    </row>
    <row r="357" spans="1:256" s="2" customFormat="1" ht="7.5" customHeight="1">
      <c r="A357" s="670">
        <v>12</v>
      </c>
      <c r="B357" s="670">
        <f>B356+2</f>
        <v>14</v>
      </c>
      <c r="E357" s="5"/>
      <c r="F357" s="5"/>
      <c r="G357" s="4"/>
      <c r="H357" s="4"/>
      <c r="I357" s="4"/>
      <c r="J357" s="4"/>
      <c r="K357" s="4"/>
      <c r="L357" s="4"/>
      <c r="Z357"/>
      <c r="AJ357" s="4"/>
      <c r="IU357"/>
      <c r="IV357"/>
    </row>
    <row r="358" spans="1:256" s="2" customFormat="1" ht="7.5" customHeight="1">
      <c r="A358" s="670">
        <v>13</v>
      </c>
      <c r="B358" s="670">
        <f>B357+2</f>
        <v>16</v>
      </c>
      <c r="E358" s="5"/>
      <c r="F358" s="5"/>
      <c r="G358" s="4"/>
      <c r="H358" s="4"/>
      <c r="I358" s="4"/>
      <c r="J358" s="4"/>
      <c r="K358" s="4"/>
      <c r="L358" s="4"/>
      <c r="AJ358" s="4"/>
      <c r="IU358"/>
      <c r="IV358"/>
    </row>
    <row r="359" spans="1:256" s="2" customFormat="1" ht="7.5" customHeight="1">
      <c r="A359" s="670">
        <v>14</v>
      </c>
      <c r="B359" s="670">
        <f>B358+2</f>
        <v>18</v>
      </c>
      <c r="E359" s="5"/>
      <c r="F359" s="5"/>
      <c r="G359" s="4"/>
      <c r="H359" s="4"/>
      <c r="I359" s="4"/>
      <c r="J359" s="4"/>
      <c r="K359" s="4"/>
      <c r="L359" s="4"/>
      <c r="AJ359" s="4"/>
      <c r="IU359"/>
      <c r="IV359"/>
    </row>
    <row r="360" spans="1:256" s="2" customFormat="1" ht="7.5" customHeight="1">
      <c r="A360" s="670">
        <v>15</v>
      </c>
      <c r="B360" s="670">
        <f>B359+2</f>
        <v>20</v>
      </c>
      <c r="E360" s="5"/>
      <c r="F360" s="5"/>
      <c r="G360" s="4"/>
      <c r="H360" s="4"/>
      <c r="I360" s="4"/>
      <c r="J360" s="4"/>
      <c r="K360" s="4"/>
      <c r="L360" s="4"/>
      <c r="AJ360" s="4"/>
      <c r="IU360"/>
      <c r="IV360"/>
    </row>
    <row r="361" spans="1:256" s="2" customFormat="1" ht="7.5" customHeight="1">
      <c r="A361" s="670">
        <v>16</v>
      </c>
      <c r="B361" s="670">
        <f>B360+3</f>
        <v>23</v>
      </c>
      <c r="E361" s="5"/>
      <c r="F361" s="5"/>
      <c r="G361" s="4"/>
      <c r="H361" s="4"/>
      <c r="I361" s="4"/>
      <c r="J361" s="4"/>
      <c r="K361" s="4"/>
      <c r="L361" s="4"/>
      <c r="AJ361" s="4"/>
      <c r="IU361"/>
      <c r="IV361"/>
    </row>
    <row r="362" spans="1:256" s="2" customFormat="1" ht="7.5" customHeight="1">
      <c r="A362" s="670">
        <v>17</v>
      </c>
      <c r="B362" s="670">
        <f>B361+3</f>
        <v>26</v>
      </c>
      <c r="E362" s="5"/>
      <c r="F362" s="5"/>
      <c r="G362" s="4"/>
      <c r="H362" s="4"/>
      <c r="I362" s="4"/>
      <c r="J362" s="4"/>
      <c r="K362" s="4"/>
      <c r="L362" s="4"/>
      <c r="AJ362" s="4"/>
      <c r="IU362"/>
      <c r="IV362"/>
    </row>
    <row r="363" spans="1:256" s="2" customFormat="1" ht="7.5" customHeight="1">
      <c r="A363" s="670">
        <v>18</v>
      </c>
      <c r="B363" s="670">
        <f>B362+3</f>
        <v>29</v>
      </c>
      <c r="E363" s="5"/>
      <c r="F363" s="5"/>
      <c r="G363" s="4"/>
      <c r="H363" s="4"/>
      <c r="I363" s="4"/>
      <c r="J363" s="4"/>
      <c r="K363" s="4"/>
      <c r="L363" s="4"/>
      <c r="AJ363" s="4"/>
      <c r="IU363"/>
      <c r="IV363"/>
    </row>
    <row r="364" spans="1:256" s="2" customFormat="1" ht="7.5" customHeight="1">
      <c r="A364" s="670">
        <v>19</v>
      </c>
      <c r="B364" s="670">
        <f>B363+3</f>
        <v>32</v>
      </c>
      <c r="E364" s="5"/>
      <c r="F364" s="5"/>
      <c r="G364" s="4"/>
      <c r="H364" s="4"/>
      <c r="I364" s="4"/>
      <c r="J364" s="4"/>
      <c r="K364" s="4"/>
      <c r="L364" s="4"/>
      <c r="AJ364" s="4"/>
      <c r="IU364"/>
      <c r="IV364"/>
    </row>
    <row r="365" spans="1:256" s="2" customFormat="1" ht="7.5" customHeight="1">
      <c r="A365" s="670">
        <v>20</v>
      </c>
      <c r="B365" s="670">
        <f>B364+3</f>
        <v>35</v>
      </c>
      <c r="E365" s="5"/>
      <c r="F365" s="5"/>
      <c r="G365" s="4"/>
      <c r="H365" s="4"/>
      <c r="I365" s="4"/>
      <c r="J365" s="4"/>
      <c r="K365" s="4"/>
      <c r="L365" s="4"/>
      <c r="AJ365" s="4"/>
      <c r="IU365"/>
      <c r="IV365"/>
    </row>
    <row r="366" spans="1:256" s="2" customFormat="1" ht="7.5" customHeight="1">
      <c r="A366" s="670">
        <v>21</v>
      </c>
      <c r="B366" s="670">
        <f>B365+4</f>
        <v>39</v>
      </c>
      <c r="E366" s="5"/>
      <c r="F366" s="5"/>
      <c r="G366" s="4"/>
      <c r="H366" s="4"/>
      <c r="I366" s="4"/>
      <c r="J366" s="4"/>
      <c r="K366" s="4"/>
      <c r="L366" s="4"/>
      <c r="AJ366" s="4"/>
      <c r="IU366"/>
      <c r="IV366"/>
    </row>
    <row r="367" spans="1:256" s="2" customFormat="1" ht="7.5" customHeight="1">
      <c r="A367" s="670">
        <v>22</v>
      </c>
      <c r="B367" s="670">
        <f>B366+4</f>
        <v>43</v>
      </c>
      <c r="E367" s="5"/>
      <c r="F367" s="5"/>
      <c r="G367" s="4"/>
      <c r="H367" s="4"/>
      <c r="I367" s="4"/>
      <c r="J367" s="4"/>
      <c r="K367" s="4"/>
      <c r="L367" s="4"/>
      <c r="AJ367" s="4"/>
      <c r="IU367"/>
      <c r="IV367"/>
    </row>
    <row r="368" spans="1:256" s="2" customFormat="1" ht="7.5" customHeight="1">
      <c r="A368" s="670">
        <v>23</v>
      </c>
      <c r="B368" s="670">
        <f>B367+4</f>
        <v>47</v>
      </c>
      <c r="E368" s="5"/>
      <c r="F368" s="5"/>
      <c r="G368" s="4"/>
      <c r="H368" s="4"/>
      <c r="I368" s="4"/>
      <c r="J368" s="4"/>
      <c r="K368" s="4"/>
      <c r="L368" s="4"/>
      <c r="AJ368" s="4"/>
      <c r="IU368"/>
      <c r="IV368"/>
    </row>
    <row r="369" spans="1:256" s="2" customFormat="1" ht="7.5" customHeight="1">
      <c r="A369" s="670">
        <v>24</v>
      </c>
      <c r="B369" s="670">
        <f>B368+4</f>
        <v>51</v>
      </c>
      <c r="E369" s="5"/>
      <c r="F369" s="5"/>
      <c r="G369" s="4"/>
      <c r="H369" s="4"/>
      <c r="I369" s="4"/>
      <c r="J369" s="4"/>
      <c r="K369" s="4"/>
      <c r="L369" s="4"/>
      <c r="AJ369" s="4"/>
      <c r="IU369"/>
      <c r="IV369"/>
    </row>
    <row r="370" spans="1:256" s="2" customFormat="1" ht="7.5" customHeight="1">
      <c r="A370" s="670">
        <v>25</v>
      </c>
      <c r="B370" s="670">
        <f>B369+4</f>
        <v>55</v>
      </c>
      <c r="E370" s="5"/>
      <c r="F370" s="5"/>
      <c r="G370" s="4"/>
      <c r="H370" s="4"/>
      <c r="I370" s="4"/>
      <c r="J370" s="4"/>
      <c r="K370" s="4"/>
      <c r="L370" s="4"/>
      <c r="AJ370" s="4"/>
      <c r="IU370"/>
      <c r="IV370"/>
    </row>
    <row r="371" spans="1:256" s="2" customFormat="1" ht="7.5" customHeight="1">
      <c r="A371" s="670">
        <v>26</v>
      </c>
      <c r="B371" s="670">
        <f>B370+6</f>
        <v>61</v>
      </c>
      <c r="E371" s="5"/>
      <c r="F371" s="5"/>
      <c r="G371" s="4"/>
      <c r="H371" s="4"/>
      <c r="I371" s="4"/>
      <c r="J371" s="4"/>
      <c r="K371" s="4"/>
      <c r="L371" s="4"/>
      <c r="AJ371" s="4"/>
      <c r="IU371"/>
      <c r="IV371"/>
    </row>
    <row r="372" spans="1:256" s="2" customFormat="1" ht="7.5" customHeight="1">
      <c r="A372" s="670">
        <v>27</v>
      </c>
      <c r="B372" s="670">
        <f>B371+6</f>
        <v>67</v>
      </c>
      <c r="E372" s="5"/>
      <c r="F372" s="5"/>
      <c r="G372" s="4"/>
      <c r="H372" s="4"/>
      <c r="I372" s="4"/>
      <c r="J372" s="4"/>
      <c r="K372" s="4"/>
      <c r="L372" s="4"/>
      <c r="AJ372" s="4"/>
      <c r="IU372"/>
      <c r="IV372"/>
    </row>
    <row r="373" spans="1:256" s="2" customFormat="1" ht="7.5" customHeight="1">
      <c r="A373" s="670">
        <v>28</v>
      </c>
      <c r="B373" s="670">
        <f>B372+6</f>
        <v>73</v>
      </c>
      <c r="E373" s="5"/>
      <c r="F373" s="5"/>
      <c r="G373" s="4"/>
      <c r="H373" s="4"/>
      <c r="I373" s="4"/>
      <c r="J373" s="4"/>
      <c r="K373" s="4"/>
      <c r="L373" s="4"/>
      <c r="AJ373" s="4"/>
      <c r="IU373"/>
      <c r="IV373"/>
    </row>
    <row r="374" spans="1:256" s="2" customFormat="1" ht="7.5" customHeight="1">
      <c r="A374" s="670">
        <v>29</v>
      </c>
      <c r="B374" s="670">
        <f>B373+6</f>
        <v>79</v>
      </c>
      <c r="E374" s="5"/>
      <c r="F374" s="5"/>
      <c r="G374" s="4"/>
      <c r="H374" s="4"/>
      <c r="I374" s="4"/>
      <c r="J374" s="4"/>
      <c r="K374" s="4"/>
      <c r="L374" s="4"/>
      <c r="AJ374" s="4"/>
      <c r="IU374"/>
      <c r="IV374"/>
    </row>
    <row r="375" spans="1:256" s="2" customFormat="1" ht="7.5" customHeight="1">
      <c r="A375" s="670">
        <v>30</v>
      </c>
      <c r="B375" s="670">
        <f>B374+6</f>
        <v>85</v>
      </c>
      <c r="E375" s="5"/>
      <c r="F375" s="5"/>
      <c r="G375" s="4"/>
      <c r="H375" s="4"/>
      <c r="I375" s="4"/>
      <c r="J375" s="4"/>
      <c r="K375" s="4"/>
      <c r="L375" s="4"/>
      <c r="AJ375" s="4"/>
      <c r="IU375"/>
      <c r="IV375"/>
    </row>
    <row r="376" spans="1:256" s="2" customFormat="1" ht="7.5" customHeight="1">
      <c r="A376" s="670">
        <v>31</v>
      </c>
      <c r="B376" s="670">
        <f>B375+8</f>
        <v>93</v>
      </c>
      <c r="E376" s="5"/>
      <c r="F376" s="5"/>
      <c r="G376" s="4"/>
      <c r="H376" s="4"/>
      <c r="I376" s="4"/>
      <c r="J376" s="4"/>
      <c r="K376" s="4"/>
      <c r="L376" s="4"/>
      <c r="AJ376" s="4"/>
      <c r="IU376"/>
      <c r="IV376"/>
    </row>
    <row r="377" spans="1:256" s="2" customFormat="1" ht="7.5" customHeight="1">
      <c r="A377" s="670">
        <v>32</v>
      </c>
      <c r="B377" s="670">
        <f>B376+8</f>
        <v>101</v>
      </c>
      <c r="E377" s="5"/>
      <c r="F377" s="5"/>
      <c r="G377" s="4"/>
      <c r="H377" s="4"/>
      <c r="I377" s="4"/>
      <c r="J377" s="4"/>
      <c r="K377" s="4"/>
      <c r="L377" s="4"/>
      <c r="AJ377" s="4"/>
      <c r="IU377"/>
      <c r="IV377"/>
    </row>
    <row r="378" spans="1:256" s="2" customFormat="1" ht="7.5" customHeight="1">
      <c r="A378" s="670">
        <v>33</v>
      </c>
      <c r="B378" s="670">
        <f>B377+8</f>
        <v>109</v>
      </c>
      <c r="E378" s="5"/>
      <c r="F378" s="5"/>
      <c r="G378" s="4"/>
      <c r="H378" s="4"/>
      <c r="I378" s="4"/>
      <c r="J378" s="4"/>
      <c r="K378" s="4"/>
      <c r="L378" s="4"/>
      <c r="AJ378" s="4"/>
      <c r="IU378"/>
      <c r="IV378"/>
    </row>
    <row r="379" spans="1:256" s="2" customFormat="1" ht="7.5" customHeight="1">
      <c r="A379" s="670">
        <v>34</v>
      </c>
      <c r="B379" s="670">
        <f>B378+8</f>
        <v>117</v>
      </c>
      <c r="E379" s="5"/>
      <c r="F379" s="5"/>
      <c r="G379" s="4"/>
      <c r="H379" s="4"/>
      <c r="I379" s="4"/>
      <c r="J379" s="4"/>
      <c r="K379" s="4"/>
      <c r="L379" s="4"/>
      <c r="AJ379" s="4"/>
      <c r="IU379"/>
      <c r="IV379"/>
    </row>
    <row r="380" spans="1:256" s="2" customFormat="1" ht="7.5" customHeight="1">
      <c r="A380" s="670">
        <v>35</v>
      </c>
      <c r="B380" s="670">
        <f>B379+8</f>
        <v>125</v>
      </c>
      <c r="E380" s="5"/>
      <c r="F380" s="5"/>
      <c r="G380" s="4"/>
      <c r="H380" s="4"/>
      <c r="I380" s="4"/>
      <c r="J380" s="4"/>
      <c r="K380" s="4"/>
      <c r="L380" s="4"/>
      <c r="AJ380" s="4"/>
      <c r="IU380"/>
      <c r="IV380"/>
    </row>
    <row r="381" spans="1:256" s="2" customFormat="1" ht="7.5" customHeight="1">
      <c r="A381" s="670">
        <v>36</v>
      </c>
      <c r="B381" s="670">
        <f>B380+12</f>
        <v>137</v>
      </c>
      <c r="E381" s="5"/>
      <c r="F381" s="5"/>
      <c r="G381" s="4"/>
      <c r="H381" s="4"/>
      <c r="I381" s="4"/>
      <c r="J381" s="4"/>
      <c r="K381" s="4"/>
      <c r="L381" s="4"/>
      <c r="AJ381" s="4"/>
      <c r="IU381"/>
      <c r="IV381"/>
    </row>
    <row r="382" spans="1:256" s="2" customFormat="1" ht="7.5" customHeight="1">
      <c r="A382" s="670">
        <v>37</v>
      </c>
      <c r="B382" s="670">
        <f>B381+12</f>
        <v>149</v>
      </c>
      <c r="E382" s="5"/>
      <c r="F382" s="5"/>
      <c r="G382" s="4"/>
      <c r="H382" s="4"/>
      <c r="I382" s="4"/>
      <c r="J382" s="4"/>
      <c r="K382" s="4"/>
      <c r="L382" s="4"/>
      <c r="AJ382" s="4"/>
      <c r="IU382"/>
      <c r="IV382"/>
    </row>
    <row r="383" spans="1:256" s="2" customFormat="1" ht="7.5" customHeight="1">
      <c r="A383" s="670">
        <v>38</v>
      </c>
      <c r="B383" s="670">
        <f>B382+12</f>
        <v>161</v>
      </c>
      <c r="E383" s="5"/>
      <c r="F383" s="5"/>
      <c r="G383" s="4"/>
      <c r="H383" s="4"/>
      <c r="I383" s="4"/>
      <c r="J383" s="4"/>
      <c r="K383" s="4"/>
      <c r="L383" s="4"/>
      <c r="AJ383" s="4"/>
      <c r="IU383"/>
      <c r="IV383"/>
    </row>
    <row r="384" spans="1:256" s="2" customFormat="1" ht="7.5" customHeight="1">
      <c r="A384" s="670">
        <v>39</v>
      </c>
      <c r="B384" s="670">
        <f>B383+12</f>
        <v>173</v>
      </c>
      <c r="E384" s="5"/>
      <c r="F384" s="5"/>
      <c r="G384" s="4"/>
      <c r="H384" s="4"/>
      <c r="I384" s="4"/>
      <c r="J384" s="4"/>
      <c r="K384" s="4"/>
      <c r="L384" s="4"/>
      <c r="AJ384" s="4"/>
      <c r="IU384"/>
      <c r="IV384"/>
    </row>
    <row r="385" spans="1:256" s="2" customFormat="1" ht="7.5" customHeight="1">
      <c r="A385" s="670">
        <v>40</v>
      </c>
      <c r="B385" s="670">
        <f>B384+12</f>
        <v>185</v>
      </c>
      <c r="E385" s="5"/>
      <c r="F385" s="5"/>
      <c r="G385" s="4"/>
      <c r="H385" s="4"/>
      <c r="I385" s="4"/>
      <c r="J385" s="4"/>
      <c r="K385" s="4"/>
      <c r="L385" s="4"/>
      <c r="AJ385" s="4"/>
      <c r="IU385"/>
      <c r="IV385"/>
    </row>
    <row r="386" spans="1:256" s="2" customFormat="1" ht="7.5" customHeight="1">
      <c r="A386" s="670">
        <v>41</v>
      </c>
      <c r="B386" s="670">
        <f>B385+16</f>
        <v>201</v>
      </c>
      <c r="E386" s="5"/>
      <c r="F386" s="5"/>
      <c r="G386" s="4"/>
      <c r="H386" s="4"/>
      <c r="I386" s="4"/>
      <c r="J386" s="4"/>
      <c r="K386" s="4"/>
      <c r="L386" s="4"/>
      <c r="AJ386" s="4"/>
      <c r="IU386"/>
      <c r="IV386"/>
    </row>
    <row r="387" spans="1:256" s="2" customFormat="1" ht="7.5" customHeight="1">
      <c r="A387" s="670">
        <v>42</v>
      </c>
      <c r="B387" s="670">
        <f>B386+16</f>
        <v>217</v>
      </c>
      <c r="E387" s="5"/>
      <c r="F387" s="5"/>
      <c r="G387" s="4"/>
      <c r="H387" s="4"/>
      <c r="I387" s="4"/>
      <c r="J387" s="4"/>
      <c r="K387" s="4"/>
      <c r="L387" s="4"/>
      <c r="AJ387" s="4"/>
      <c r="IU387"/>
      <c r="IV387"/>
    </row>
    <row r="388" spans="1:256" s="2" customFormat="1" ht="7.5" customHeight="1">
      <c r="A388" s="670">
        <v>43</v>
      </c>
      <c r="B388" s="670">
        <f>B387+16</f>
        <v>233</v>
      </c>
      <c r="E388" s="5"/>
      <c r="F388" s="5"/>
      <c r="G388" s="4"/>
      <c r="H388" s="4"/>
      <c r="I388" s="4"/>
      <c r="J388" s="4"/>
      <c r="K388" s="4"/>
      <c r="L388" s="4"/>
      <c r="AJ388" s="4"/>
      <c r="IU388"/>
      <c r="IV388"/>
    </row>
    <row r="389" spans="1:256" s="2" customFormat="1" ht="7.5" customHeight="1">
      <c r="A389" s="670">
        <v>44</v>
      </c>
      <c r="B389" s="670">
        <f>B388+16</f>
        <v>249</v>
      </c>
      <c r="E389" s="5"/>
      <c r="F389" s="5"/>
      <c r="G389" s="4"/>
      <c r="H389" s="4"/>
      <c r="I389" s="4"/>
      <c r="J389" s="4"/>
      <c r="K389" s="4"/>
      <c r="L389" s="4"/>
      <c r="AJ389" s="4"/>
      <c r="IU389"/>
      <c r="IV389"/>
    </row>
    <row r="390" spans="1:256" s="2" customFormat="1" ht="7.5" customHeight="1">
      <c r="A390" s="670">
        <v>45</v>
      </c>
      <c r="B390" s="670">
        <f>B389+16</f>
        <v>265</v>
      </c>
      <c r="E390" s="5"/>
      <c r="F390" s="5"/>
      <c r="G390" s="4"/>
      <c r="H390" s="4"/>
      <c r="I390" s="4"/>
      <c r="J390" s="4"/>
      <c r="K390" s="4"/>
      <c r="L390" s="4"/>
      <c r="AJ390" s="4"/>
      <c r="IU390"/>
      <c r="IV390"/>
    </row>
    <row r="391" spans="1:256" s="2" customFormat="1" ht="7.5" customHeight="1">
      <c r="A391" s="670">
        <v>46</v>
      </c>
      <c r="B391" s="670">
        <f>B390+24</f>
        <v>289</v>
      </c>
      <c r="E391" s="5"/>
      <c r="F391" s="5"/>
      <c r="G391" s="4"/>
      <c r="H391" s="4"/>
      <c r="I391" s="4"/>
      <c r="J391" s="4"/>
      <c r="K391" s="4"/>
      <c r="L391" s="4"/>
      <c r="AJ391" s="4"/>
      <c r="IU391"/>
      <c r="IV391"/>
    </row>
    <row r="392" spans="1:256" s="2" customFormat="1" ht="7.5" customHeight="1">
      <c r="A392" s="670">
        <v>47</v>
      </c>
      <c r="B392" s="670">
        <f>B391+24</f>
        <v>313</v>
      </c>
      <c r="E392" s="5"/>
      <c r="F392" s="5"/>
      <c r="G392" s="4"/>
      <c r="H392" s="4"/>
      <c r="I392" s="4"/>
      <c r="J392" s="4"/>
      <c r="K392" s="4"/>
      <c r="L392" s="4"/>
      <c r="AJ392" s="4"/>
      <c r="IU392"/>
      <c r="IV392"/>
    </row>
    <row r="393" spans="1:256" s="2" customFormat="1" ht="7.5" customHeight="1">
      <c r="A393" s="670">
        <v>48</v>
      </c>
      <c r="B393" s="670">
        <f>B392+24</f>
        <v>337</v>
      </c>
      <c r="E393" s="5"/>
      <c r="F393" s="5"/>
      <c r="G393" s="4"/>
      <c r="H393" s="4"/>
      <c r="I393" s="4"/>
      <c r="J393" s="4"/>
      <c r="K393" s="4"/>
      <c r="L393" s="4"/>
      <c r="AJ393" s="4"/>
      <c r="IU393"/>
      <c r="IV393"/>
    </row>
    <row r="394" spans="1:256" s="2" customFormat="1" ht="7.5" customHeight="1">
      <c r="A394" s="670">
        <v>49</v>
      </c>
      <c r="B394" s="670">
        <f>B393+24</f>
        <v>361</v>
      </c>
      <c r="E394" s="5"/>
      <c r="F394" s="5"/>
      <c r="G394" s="4"/>
      <c r="H394" s="4"/>
      <c r="I394" s="4"/>
      <c r="J394" s="4"/>
      <c r="K394" s="4"/>
      <c r="L394" s="4"/>
      <c r="AJ394" s="4"/>
      <c r="IU394"/>
      <c r="IV394"/>
    </row>
    <row r="395" spans="1:256" s="2" customFormat="1" ht="7.5" customHeight="1">
      <c r="A395" s="670">
        <v>50</v>
      </c>
      <c r="B395" s="670">
        <f>B394+24</f>
        <v>385</v>
      </c>
      <c r="E395" s="5"/>
      <c r="F395" s="5"/>
      <c r="G395" s="4"/>
      <c r="H395" s="4"/>
      <c r="I395" s="4"/>
      <c r="J395" s="4"/>
      <c r="K395" s="4"/>
      <c r="L395" s="4"/>
      <c r="AJ395" s="4"/>
      <c r="IU395"/>
      <c r="IV395"/>
    </row>
    <row r="396" spans="1:256" s="2" customFormat="1" ht="7.5" customHeight="1">
      <c r="A396" s="670">
        <v>51</v>
      </c>
      <c r="B396" s="670">
        <f>B395+32</f>
        <v>417</v>
      </c>
      <c r="E396" s="5"/>
      <c r="F396" s="5"/>
      <c r="G396" s="4"/>
      <c r="H396" s="4"/>
      <c r="I396" s="4"/>
      <c r="J396" s="4"/>
      <c r="K396" s="4"/>
      <c r="L396" s="4"/>
      <c r="AJ396" s="4"/>
      <c r="IU396"/>
      <c r="IV396"/>
    </row>
    <row r="397" spans="1:256" s="2" customFormat="1" ht="7.5" customHeight="1">
      <c r="A397" s="670">
        <v>52</v>
      </c>
      <c r="B397" s="670">
        <f>B396+32</f>
        <v>449</v>
      </c>
      <c r="E397" s="5"/>
      <c r="F397" s="5"/>
      <c r="G397" s="4"/>
      <c r="H397" s="4"/>
      <c r="I397" s="4"/>
      <c r="J397" s="4"/>
      <c r="K397" s="4"/>
      <c r="L397" s="4"/>
      <c r="AJ397" s="4"/>
      <c r="IU397"/>
      <c r="IV397"/>
    </row>
    <row r="398" spans="1:256" s="2" customFormat="1" ht="7.5" customHeight="1">
      <c r="A398" s="670">
        <v>53</v>
      </c>
      <c r="B398" s="670">
        <f>B397+32</f>
        <v>481</v>
      </c>
      <c r="E398" s="5"/>
      <c r="F398" s="5"/>
      <c r="G398" s="4"/>
      <c r="H398" s="4"/>
      <c r="I398" s="4"/>
      <c r="J398" s="4"/>
      <c r="K398" s="4"/>
      <c r="L398" s="4"/>
      <c r="AJ398" s="4"/>
      <c r="IU398"/>
      <c r="IV398"/>
    </row>
    <row r="399" spans="1:256" s="2" customFormat="1" ht="7.5" customHeight="1">
      <c r="A399" s="670">
        <v>54</v>
      </c>
      <c r="B399" s="670">
        <f>B398+32</f>
        <v>513</v>
      </c>
      <c r="E399" s="5"/>
      <c r="F399" s="5"/>
      <c r="G399" s="4"/>
      <c r="H399" s="4"/>
      <c r="I399" s="4"/>
      <c r="J399" s="4"/>
      <c r="K399" s="4"/>
      <c r="L399" s="4"/>
      <c r="AJ399" s="4"/>
      <c r="IU399"/>
      <c r="IV399"/>
    </row>
    <row r="400" spans="1:256" s="2" customFormat="1" ht="7.5" customHeight="1">
      <c r="A400" s="670">
        <v>55</v>
      </c>
      <c r="B400" s="670">
        <f>B399+32</f>
        <v>545</v>
      </c>
      <c r="E400" s="5"/>
      <c r="F400" s="5"/>
      <c r="G400" s="4"/>
      <c r="H400" s="4"/>
      <c r="I400" s="4"/>
      <c r="J400" s="4"/>
      <c r="K400" s="4"/>
      <c r="L400" s="4"/>
      <c r="AJ400" s="4"/>
      <c r="IU400"/>
      <c r="IV400"/>
    </row>
    <row r="401" spans="1:256" s="2" customFormat="1" ht="7.5" customHeight="1">
      <c r="A401" s="670">
        <v>56</v>
      </c>
      <c r="B401" s="670">
        <f>B400+48</f>
        <v>593</v>
      </c>
      <c r="E401" s="5"/>
      <c r="F401" s="5"/>
      <c r="G401" s="4"/>
      <c r="H401" s="4"/>
      <c r="I401" s="4"/>
      <c r="J401" s="4"/>
      <c r="K401" s="4"/>
      <c r="L401" s="4"/>
      <c r="AJ401" s="4"/>
      <c r="IU401"/>
      <c r="IV401"/>
    </row>
    <row r="402" spans="1:256" s="2" customFormat="1" ht="7.5" customHeight="1">
      <c r="A402" s="670">
        <v>57</v>
      </c>
      <c r="B402" s="670">
        <f>B401+48</f>
        <v>641</v>
      </c>
      <c r="E402" s="5"/>
      <c r="F402" s="5"/>
      <c r="G402" s="4"/>
      <c r="H402" s="4"/>
      <c r="I402" s="4"/>
      <c r="J402" s="4"/>
      <c r="K402" s="4"/>
      <c r="L402" s="4"/>
      <c r="AJ402" s="4"/>
      <c r="IU402"/>
      <c r="IV402"/>
    </row>
    <row r="403" spans="1:256" s="2" customFormat="1" ht="7.5" customHeight="1">
      <c r="A403" s="670">
        <v>58</v>
      </c>
      <c r="B403" s="670">
        <f>B402+48</f>
        <v>689</v>
      </c>
      <c r="E403" s="5"/>
      <c r="F403" s="5"/>
      <c r="G403" s="4"/>
      <c r="H403" s="4"/>
      <c r="I403" s="4"/>
      <c r="J403" s="4"/>
      <c r="K403" s="4"/>
      <c r="L403" s="4"/>
      <c r="AJ403" s="4"/>
      <c r="IU403"/>
      <c r="IV403"/>
    </row>
    <row r="404" spans="1:256" s="2" customFormat="1" ht="7.5" customHeight="1">
      <c r="A404" s="670">
        <v>59</v>
      </c>
      <c r="B404" s="670">
        <f>B403+48</f>
        <v>737</v>
      </c>
      <c r="E404" s="5"/>
      <c r="F404" s="5"/>
      <c r="G404" s="4"/>
      <c r="H404" s="4"/>
      <c r="I404" s="4"/>
      <c r="J404" s="4"/>
      <c r="K404" s="4"/>
      <c r="L404" s="4"/>
      <c r="AJ404" s="4"/>
      <c r="IU404"/>
      <c r="IV404"/>
    </row>
    <row r="405" spans="1:256" s="2" customFormat="1" ht="7.5" customHeight="1">
      <c r="A405" s="670">
        <v>60</v>
      </c>
      <c r="B405" s="670">
        <f>B404+48</f>
        <v>785</v>
      </c>
      <c r="E405" s="5"/>
      <c r="F405" s="5"/>
      <c r="G405" s="4"/>
      <c r="H405" s="4"/>
      <c r="I405" s="4"/>
      <c r="J405" s="4"/>
      <c r="K405" s="4"/>
      <c r="L405" s="4"/>
      <c r="AJ405" s="4"/>
      <c r="IU405"/>
      <c r="IV405"/>
    </row>
    <row r="406" spans="1:256" s="2" customFormat="1" ht="7.5" customHeight="1">
      <c r="A406" s="670">
        <v>61</v>
      </c>
      <c r="B406" s="670">
        <f>B405+64</f>
        <v>849</v>
      </c>
      <c r="E406" s="5"/>
      <c r="F406" s="5"/>
      <c r="G406" s="4"/>
      <c r="H406" s="4"/>
      <c r="I406" s="4"/>
      <c r="J406" s="4"/>
      <c r="K406" s="4"/>
      <c r="L406" s="4"/>
      <c r="AJ406" s="4"/>
      <c r="IU406"/>
      <c r="IV406"/>
    </row>
    <row r="407" spans="1:256" s="2" customFormat="1" ht="7.5" customHeight="1">
      <c r="A407" s="670">
        <v>62</v>
      </c>
      <c r="B407" s="670">
        <f>B406+64</f>
        <v>913</v>
      </c>
      <c r="E407" s="5"/>
      <c r="F407" s="5"/>
      <c r="G407" s="4"/>
      <c r="H407" s="4"/>
      <c r="I407" s="4"/>
      <c r="J407" s="4"/>
      <c r="K407" s="4"/>
      <c r="L407" s="4"/>
      <c r="AJ407" s="4"/>
      <c r="IU407"/>
      <c r="IV407"/>
    </row>
    <row r="408" spans="1:256" s="2" customFormat="1" ht="7.5" customHeight="1">
      <c r="A408" s="670">
        <v>63</v>
      </c>
      <c r="B408" s="670">
        <f>B407+64</f>
        <v>977</v>
      </c>
      <c r="E408" s="5"/>
      <c r="F408" s="5"/>
      <c r="G408" s="4"/>
      <c r="H408" s="4"/>
      <c r="I408" s="4"/>
      <c r="J408" s="4"/>
      <c r="K408" s="4"/>
      <c r="L408" s="4"/>
      <c r="AJ408" s="4"/>
      <c r="IU408"/>
      <c r="IV408"/>
    </row>
    <row r="409" spans="1:256" s="2" customFormat="1" ht="7.5" customHeight="1">
      <c r="A409" s="670">
        <v>64</v>
      </c>
      <c r="B409" s="670">
        <f>B408+64</f>
        <v>1041</v>
      </c>
      <c r="E409" s="5"/>
      <c r="F409" s="5"/>
      <c r="G409" s="4"/>
      <c r="H409" s="4"/>
      <c r="I409" s="4"/>
      <c r="J409" s="4"/>
      <c r="K409" s="4"/>
      <c r="L409" s="4"/>
      <c r="AJ409" s="4"/>
      <c r="IU409"/>
      <c r="IV409"/>
    </row>
    <row r="410" spans="1:256" s="2" customFormat="1" ht="7.5" customHeight="1">
      <c r="A410" s="670">
        <v>65</v>
      </c>
      <c r="B410" s="670">
        <f>B409+64</f>
        <v>1105</v>
      </c>
      <c r="E410" s="5"/>
      <c r="F410" s="5"/>
      <c r="G410" s="4"/>
      <c r="H410" s="4"/>
      <c r="I410" s="4"/>
      <c r="J410" s="4"/>
      <c r="K410" s="4"/>
      <c r="L410" s="4"/>
      <c r="AJ410" s="4"/>
      <c r="IU410"/>
      <c r="IV410"/>
    </row>
    <row r="411" spans="1:256" s="2" customFormat="1" ht="7.5" customHeight="1">
      <c r="A411" s="670">
        <v>66</v>
      </c>
      <c r="B411" s="670">
        <f>B410+96</f>
        <v>1201</v>
      </c>
      <c r="E411" s="5"/>
      <c r="F411" s="5"/>
      <c r="G411" s="4"/>
      <c r="H411" s="4"/>
      <c r="I411" s="4"/>
      <c r="J411" s="4"/>
      <c r="K411" s="4"/>
      <c r="L411" s="4"/>
      <c r="AJ411" s="4"/>
      <c r="IU411"/>
      <c r="IV411"/>
    </row>
    <row r="412" spans="1:256" s="2" customFormat="1" ht="7.5" customHeight="1">
      <c r="A412" s="670">
        <v>67</v>
      </c>
      <c r="B412" s="670">
        <f>B411+96</f>
        <v>1297</v>
      </c>
      <c r="E412" s="5"/>
      <c r="F412" s="5"/>
      <c r="G412" s="4"/>
      <c r="H412" s="4"/>
      <c r="I412" s="4"/>
      <c r="J412" s="4"/>
      <c r="K412" s="4"/>
      <c r="L412" s="4"/>
      <c r="AJ412" s="4"/>
      <c r="IU412"/>
      <c r="IV412"/>
    </row>
    <row r="413" spans="1:256" s="2" customFormat="1" ht="7.5" customHeight="1">
      <c r="A413" s="670">
        <v>68</v>
      </c>
      <c r="B413" s="670">
        <f>B412+96</f>
        <v>1393</v>
      </c>
      <c r="E413" s="5"/>
      <c r="F413" s="5"/>
      <c r="G413" s="4"/>
      <c r="H413" s="4"/>
      <c r="I413" s="4"/>
      <c r="J413" s="4"/>
      <c r="K413" s="4"/>
      <c r="L413" s="4"/>
      <c r="AJ413" s="4"/>
      <c r="IU413"/>
      <c r="IV413"/>
    </row>
    <row r="414" spans="1:256" s="2" customFormat="1" ht="7.5" customHeight="1">
      <c r="A414" s="670">
        <v>69</v>
      </c>
      <c r="B414" s="670">
        <f>B413+96</f>
        <v>1489</v>
      </c>
      <c r="E414" s="5"/>
      <c r="F414" s="5"/>
      <c r="G414" s="4"/>
      <c r="H414" s="4"/>
      <c r="I414" s="4"/>
      <c r="J414" s="4"/>
      <c r="K414" s="4"/>
      <c r="L414" s="4"/>
      <c r="AJ414" s="4"/>
      <c r="IU414"/>
      <c r="IV414"/>
    </row>
    <row r="415" spans="1:256" s="2" customFormat="1" ht="7.5" customHeight="1">
      <c r="A415" s="670">
        <v>70</v>
      </c>
      <c r="B415" s="670">
        <f>B414+96</f>
        <v>1585</v>
      </c>
      <c r="E415" s="5"/>
      <c r="F415" s="5"/>
      <c r="G415" s="4"/>
      <c r="H415" s="4"/>
      <c r="I415" s="4"/>
      <c r="J415" s="4"/>
      <c r="K415" s="4"/>
      <c r="L415" s="4"/>
      <c r="AJ415" s="4"/>
      <c r="IU415"/>
      <c r="IV415"/>
    </row>
    <row r="416" spans="1:256" s="2" customFormat="1" ht="7.5" customHeight="1">
      <c r="A416" s="670">
        <v>71</v>
      </c>
      <c r="B416" s="670">
        <f>B415+128</f>
        <v>1713</v>
      </c>
      <c r="E416" s="5"/>
      <c r="F416" s="5"/>
      <c r="G416" s="4"/>
      <c r="H416" s="4"/>
      <c r="I416" s="4"/>
      <c r="J416" s="4"/>
      <c r="K416" s="4"/>
      <c r="L416" s="4"/>
      <c r="AJ416" s="4"/>
      <c r="IU416"/>
      <c r="IV416"/>
    </row>
    <row r="417" spans="1:256" s="2" customFormat="1" ht="7.5" customHeight="1">
      <c r="A417" s="670">
        <v>72</v>
      </c>
      <c r="B417" s="670">
        <f>B416+128</f>
        <v>1841</v>
      </c>
      <c r="E417" s="5"/>
      <c r="F417" s="5"/>
      <c r="G417" s="4"/>
      <c r="H417" s="4"/>
      <c r="I417" s="4"/>
      <c r="J417" s="4"/>
      <c r="K417" s="4"/>
      <c r="L417" s="4"/>
      <c r="AJ417" s="4"/>
      <c r="IU417"/>
      <c r="IV417"/>
    </row>
    <row r="418" spans="1:256" s="2" customFormat="1" ht="7.5" customHeight="1">
      <c r="A418" s="670">
        <v>73</v>
      </c>
      <c r="B418" s="670">
        <f>B417+128</f>
        <v>1969</v>
      </c>
      <c r="E418" s="5"/>
      <c r="F418" s="5"/>
      <c r="G418" s="4"/>
      <c r="H418" s="4"/>
      <c r="I418" s="4"/>
      <c r="J418" s="4"/>
      <c r="K418" s="4"/>
      <c r="L418" s="4"/>
      <c r="AJ418" s="4"/>
      <c r="IU418"/>
      <c r="IV418"/>
    </row>
    <row r="419" spans="1:256" s="2" customFormat="1" ht="7.5" customHeight="1">
      <c r="A419" s="670">
        <v>74</v>
      </c>
      <c r="B419" s="670">
        <f>B418+128</f>
        <v>2097</v>
      </c>
      <c r="E419" s="5"/>
      <c r="F419" s="5"/>
      <c r="G419" s="4"/>
      <c r="H419" s="4"/>
      <c r="I419" s="4"/>
      <c r="J419" s="4"/>
      <c r="K419" s="4"/>
      <c r="L419" s="4"/>
      <c r="AJ419" s="4"/>
      <c r="IU419"/>
      <c r="IV419"/>
    </row>
    <row r="420" spans="1:256" s="2" customFormat="1" ht="7.5" customHeight="1">
      <c r="A420" s="670">
        <v>75</v>
      </c>
      <c r="B420" s="670">
        <f>B419+128</f>
        <v>2225</v>
      </c>
      <c r="E420" s="5"/>
      <c r="F420" s="5"/>
      <c r="G420" s="4"/>
      <c r="H420" s="4"/>
      <c r="I420" s="4"/>
      <c r="J420" s="4"/>
      <c r="K420" s="4"/>
      <c r="L420" s="4"/>
      <c r="AJ420" s="4"/>
      <c r="IU420"/>
      <c r="IV420"/>
    </row>
    <row r="421" spans="1:256" s="2" customFormat="1" ht="7.5" customHeight="1">
      <c r="A421" s="670">
        <v>76</v>
      </c>
      <c r="B421" s="670">
        <f>B420+192</f>
        <v>2417</v>
      </c>
      <c r="E421" s="5"/>
      <c r="F421" s="5"/>
      <c r="G421" s="4"/>
      <c r="H421" s="4"/>
      <c r="I421" s="4"/>
      <c r="J421" s="4"/>
      <c r="K421" s="4"/>
      <c r="L421" s="4"/>
      <c r="AJ421" s="4"/>
      <c r="IU421"/>
      <c r="IV421"/>
    </row>
    <row r="422" spans="1:256" s="2" customFormat="1" ht="7.5" customHeight="1">
      <c r="A422" s="670">
        <v>77</v>
      </c>
      <c r="B422" s="670">
        <f>B421+192</f>
        <v>2609</v>
      </c>
      <c r="E422" s="5"/>
      <c r="F422" s="5"/>
      <c r="G422" s="4"/>
      <c r="H422" s="4"/>
      <c r="I422" s="4"/>
      <c r="J422" s="4"/>
      <c r="K422" s="4"/>
      <c r="L422" s="4"/>
      <c r="AJ422" s="4"/>
      <c r="IU422"/>
      <c r="IV422"/>
    </row>
    <row r="423" spans="1:256" s="2" customFormat="1" ht="7.5" customHeight="1">
      <c r="A423" s="670">
        <v>78</v>
      </c>
      <c r="B423" s="670">
        <f>B422+192</f>
        <v>2801</v>
      </c>
      <c r="E423" s="5"/>
      <c r="F423" s="5"/>
      <c r="G423" s="4"/>
      <c r="H423" s="4"/>
      <c r="I423" s="4"/>
      <c r="J423" s="4"/>
      <c r="K423" s="4"/>
      <c r="L423" s="4"/>
      <c r="AJ423" s="4"/>
      <c r="IU423"/>
      <c r="IV423"/>
    </row>
    <row r="424" spans="1:256" s="2" customFormat="1" ht="7.5" customHeight="1">
      <c r="A424" s="670">
        <v>79</v>
      </c>
      <c r="B424" s="670">
        <f>B423+192</f>
        <v>2993</v>
      </c>
      <c r="E424" s="5"/>
      <c r="F424" s="5"/>
      <c r="G424" s="4"/>
      <c r="H424" s="4"/>
      <c r="I424" s="4"/>
      <c r="J424" s="4"/>
      <c r="K424" s="4"/>
      <c r="L424" s="4"/>
      <c r="AJ424" s="4"/>
      <c r="IU424"/>
      <c r="IV424"/>
    </row>
    <row r="425" spans="1:256" s="2" customFormat="1" ht="7.5" customHeight="1">
      <c r="A425" s="670">
        <v>80</v>
      </c>
      <c r="B425" s="670">
        <f>B424+192</f>
        <v>3185</v>
      </c>
      <c r="E425" s="5"/>
      <c r="F425" s="5"/>
      <c r="G425" s="4"/>
      <c r="H425" s="4"/>
      <c r="I425" s="4"/>
      <c r="J425" s="4"/>
      <c r="K425" s="4"/>
      <c r="L425" s="4"/>
      <c r="AJ425" s="4"/>
      <c r="IU425"/>
      <c r="IV425"/>
    </row>
    <row r="426" spans="1:256" s="2" customFormat="1" ht="7.5" customHeight="1">
      <c r="A426" s="670">
        <v>81</v>
      </c>
      <c r="B426" s="670">
        <f>B425+256</f>
        <v>3441</v>
      </c>
      <c r="E426" s="5"/>
      <c r="F426" s="5"/>
      <c r="G426" s="4"/>
      <c r="H426" s="4"/>
      <c r="I426" s="4"/>
      <c r="J426" s="4"/>
      <c r="K426" s="4"/>
      <c r="L426" s="4"/>
      <c r="AJ426" s="4"/>
      <c r="IU426"/>
      <c r="IV426"/>
    </row>
    <row r="427" spans="1:256" s="2" customFormat="1" ht="7.5" customHeight="1">
      <c r="A427" s="670">
        <v>82</v>
      </c>
      <c r="B427" s="670">
        <f>B426+256</f>
        <v>3697</v>
      </c>
      <c r="E427" s="5"/>
      <c r="F427" s="5"/>
      <c r="G427" s="4"/>
      <c r="H427" s="4"/>
      <c r="I427" s="4"/>
      <c r="J427" s="4"/>
      <c r="K427" s="4"/>
      <c r="L427" s="4"/>
      <c r="AJ427" s="4"/>
      <c r="IU427"/>
      <c r="IV427"/>
    </row>
    <row r="428" spans="1:256" s="2" customFormat="1" ht="7.5" customHeight="1">
      <c r="A428" s="670">
        <v>83</v>
      </c>
      <c r="B428" s="670">
        <f>B427+256</f>
        <v>3953</v>
      </c>
      <c r="E428" s="5"/>
      <c r="F428" s="5"/>
      <c r="G428" s="4"/>
      <c r="H428" s="4"/>
      <c r="I428" s="4"/>
      <c r="J428" s="4"/>
      <c r="K428" s="4"/>
      <c r="L428" s="4"/>
      <c r="AJ428" s="4"/>
      <c r="IU428"/>
      <c r="IV428"/>
    </row>
    <row r="429" spans="1:256" s="2" customFormat="1" ht="7.5" customHeight="1">
      <c r="A429" s="670">
        <v>84</v>
      </c>
      <c r="B429" s="670">
        <f>B428+256</f>
        <v>4209</v>
      </c>
      <c r="E429" s="5"/>
      <c r="F429" s="5"/>
      <c r="G429" s="4"/>
      <c r="H429" s="4"/>
      <c r="I429" s="4"/>
      <c r="J429" s="4"/>
      <c r="K429" s="4"/>
      <c r="L429" s="4"/>
      <c r="AJ429" s="4"/>
      <c r="IU429"/>
      <c r="IV429"/>
    </row>
    <row r="430" spans="1:256" s="2" customFormat="1" ht="7.5" customHeight="1">
      <c r="A430" s="670">
        <v>85</v>
      </c>
      <c r="B430" s="670">
        <f>B429+256</f>
        <v>4465</v>
      </c>
      <c r="E430" s="5"/>
      <c r="F430" s="5"/>
      <c r="G430" s="4"/>
      <c r="H430" s="4"/>
      <c r="I430" s="4"/>
      <c r="J430" s="4"/>
      <c r="K430" s="4"/>
      <c r="L430" s="4"/>
      <c r="AJ430" s="4"/>
      <c r="IU430"/>
      <c r="IV430"/>
    </row>
    <row r="431" spans="1:256" s="2" customFormat="1" ht="7.5" customHeight="1">
      <c r="A431" s="670">
        <v>86</v>
      </c>
      <c r="B431" s="670">
        <f>B430+384</f>
        <v>4849</v>
      </c>
      <c r="E431" s="5"/>
      <c r="F431" s="5"/>
      <c r="G431" s="4"/>
      <c r="H431" s="4"/>
      <c r="I431" s="4"/>
      <c r="J431" s="4"/>
      <c r="K431" s="4"/>
      <c r="L431" s="4"/>
      <c r="AJ431" s="4"/>
      <c r="IU431"/>
      <c r="IV431"/>
    </row>
    <row r="432" spans="1:256" s="2" customFormat="1" ht="7.5" customHeight="1">
      <c r="A432" s="670">
        <v>87</v>
      </c>
      <c r="B432" s="670">
        <f>B431+384</f>
        <v>5233</v>
      </c>
      <c r="E432" s="5"/>
      <c r="F432" s="5"/>
      <c r="G432" s="4"/>
      <c r="H432" s="4"/>
      <c r="I432" s="4"/>
      <c r="J432" s="4"/>
      <c r="K432" s="4"/>
      <c r="L432" s="4"/>
      <c r="AJ432" s="4"/>
      <c r="IU432"/>
      <c r="IV432"/>
    </row>
    <row r="433" spans="1:256" s="2" customFormat="1" ht="7.5" customHeight="1">
      <c r="A433" s="670">
        <v>88</v>
      </c>
      <c r="B433" s="670">
        <f>B432+384</f>
        <v>5617</v>
      </c>
      <c r="E433" s="5"/>
      <c r="F433" s="5"/>
      <c r="G433" s="4"/>
      <c r="H433" s="4"/>
      <c r="I433" s="4"/>
      <c r="J433" s="4"/>
      <c r="K433" s="4"/>
      <c r="L433" s="4"/>
      <c r="AJ433" s="4"/>
      <c r="IU433"/>
      <c r="IV433"/>
    </row>
    <row r="434" spans="1:256" s="2" customFormat="1" ht="7.5" customHeight="1">
      <c r="A434" s="670">
        <v>89</v>
      </c>
      <c r="B434" s="670">
        <f>B433+384</f>
        <v>6001</v>
      </c>
      <c r="E434" s="5"/>
      <c r="F434" s="5"/>
      <c r="G434" s="4"/>
      <c r="H434" s="4"/>
      <c r="I434" s="4"/>
      <c r="J434" s="4"/>
      <c r="K434" s="4"/>
      <c r="L434" s="4"/>
      <c r="AJ434" s="4"/>
      <c r="IU434"/>
      <c r="IV434"/>
    </row>
    <row r="435" spans="1:256" s="2" customFormat="1" ht="7.5" customHeight="1">
      <c r="A435" s="670">
        <v>90</v>
      </c>
      <c r="B435" s="670">
        <f>B434+384</f>
        <v>6385</v>
      </c>
      <c r="E435" s="5"/>
      <c r="F435" s="5"/>
      <c r="G435" s="4"/>
      <c r="H435" s="4"/>
      <c r="I435" s="4"/>
      <c r="J435" s="4"/>
      <c r="K435" s="4"/>
      <c r="L435" s="4"/>
      <c r="AJ435" s="4"/>
      <c r="IU435"/>
      <c r="IV435"/>
    </row>
    <row r="436" spans="1:256" s="2" customFormat="1" ht="7.5" customHeight="1">
      <c r="A436" s="670">
        <v>91</v>
      </c>
      <c r="B436" s="670">
        <f>B435+512</f>
        <v>6897</v>
      </c>
      <c r="E436" s="5"/>
      <c r="F436" s="5"/>
      <c r="G436" s="4"/>
      <c r="H436" s="4"/>
      <c r="I436" s="4"/>
      <c r="J436" s="4"/>
      <c r="K436" s="4"/>
      <c r="L436" s="4"/>
      <c r="AJ436" s="4"/>
      <c r="IU436"/>
      <c r="IV436"/>
    </row>
    <row r="437" spans="1:256" s="2" customFormat="1" ht="7.5" customHeight="1">
      <c r="A437" s="670">
        <v>92</v>
      </c>
      <c r="B437" s="670">
        <f>B436+512</f>
        <v>7409</v>
      </c>
      <c r="E437" s="5"/>
      <c r="F437" s="5"/>
      <c r="G437" s="4"/>
      <c r="H437" s="4"/>
      <c r="I437" s="4"/>
      <c r="J437" s="4"/>
      <c r="K437" s="4"/>
      <c r="L437" s="4"/>
      <c r="AJ437" s="4"/>
      <c r="IU437"/>
      <c r="IV437"/>
    </row>
    <row r="438" spans="1:256" s="2" customFormat="1" ht="7.5" customHeight="1">
      <c r="A438" s="670">
        <v>93</v>
      </c>
      <c r="B438" s="670">
        <f>B437+512</f>
        <v>7921</v>
      </c>
      <c r="E438" s="5"/>
      <c r="F438" s="5"/>
      <c r="G438" s="4"/>
      <c r="H438" s="4"/>
      <c r="I438" s="4"/>
      <c r="J438" s="4"/>
      <c r="K438" s="4"/>
      <c r="L438" s="4"/>
      <c r="AJ438" s="4"/>
      <c r="IU438"/>
      <c r="IV438"/>
    </row>
    <row r="439" spans="1:256" s="2" customFormat="1" ht="7.5" customHeight="1">
      <c r="A439" s="670">
        <v>94</v>
      </c>
      <c r="B439" s="670">
        <f>B438+512</f>
        <v>8433</v>
      </c>
      <c r="E439" s="5"/>
      <c r="F439" s="5"/>
      <c r="G439" s="4"/>
      <c r="H439" s="4"/>
      <c r="I439" s="4"/>
      <c r="J439" s="4"/>
      <c r="K439" s="4"/>
      <c r="L439" s="4"/>
      <c r="AJ439" s="4"/>
      <c r="IU439"/>
      <c r="IV439"/>
    </row>
    <row r="440" spans="1:256" s="2" customFormat="1" ht="7.5" customHeight="1">
      <c r="A440" s="670">
        <v>95</v>
      </c>
      <c r="B440" s="670">
        <f>B439+512</f>
        <v>8945</v>
      </c>
      <c r="E440" s="5"/>
      <c r="F440" s="5"/>
      <c r="G440" s="4"/>
      <c r="H440" s="4"/>
      <c r="I440" s="4"/>
      <c r="J440" s="4"/>
      <c r="K440" s="4"/>
      <c r="L440" s="4"/>
      <c r="AJ440" s="4"/>
      <c r="IU440"/>
      <c r="IV440"/>
    </row>
    <row r="441" spans="1:256" s="2" customFormat="1" ht="7.5" customHeight="1">
      <c r="A441" s="670">
        <v>96</v>
      </c>
      <c r="B441" s="670">
        <f>B440+768</f>
        <v>9713</v>
      </c>
      <c r="E441" s="5"/>
      <c r="F441" s="5"/>
      <c r="G441" s="4"/>
      <c r="H441" s="4"/>
      <c r="I441" s="4"/>
      <c r="J441" s="4"/>
      <c r="K441" s="4"/>
      <c r="L441" s="4"/>
      <c r="AJ441" s="4"/>
      <c r="IU441"/>
      <c r="IV441"/>
    </row>
    <row r="442" spans="1:256" s="2" customFormat="1" ht="7.5" customHeight="1">
      <c r="A442" s="670">
        <v>97</v>
      </c>
      <c r="B442" s="670">
        <f>B441+768</f>
        <v>10481</v>
      </c>
      <c r="E442" s="5"/>
      <c r="F442" s="5"/>
      <c r="G442" s="4"/>
      <c r="H442" s="4"/>
      <c r="I442" s="4"/>
      <c r="J442" s="4"/>
      <c r="K442" s="4"/>
      <c r="L442" s="4"/>
      <c r="AJ442" s="4"/>
      <c r="IU442"/>
      <c r="IV442"/>
    </row>
    <row r="443" spans="1:256" s="2" customFormat="1" ht="7.5" customHeight="1">
      <c r="A443" s="670">
        <v>98</v>
      </c>
      <c r="B443" s="670">
        <f>B442+768</f>
        <v>11249</v>
      </c>
      <c r="E443" s="5"/>
      <c r="F443" s="5"/>
      <c r="G443" s="4"/>
      <c r="H443" s="4"/>
      <c r="I443" s="4"/>
      <c r="J443" s="4"/>
      <c r="K443" s="4"/>
      <c r="L443" s="4"/>
      <c r="AJ443" s="4"/>
      <c r="IU443"/>
      <c r="IV443"/>
    </row>
    <row r="444" spans="1:256" s="2" customFormat="1" ht="7.5" customHeight="1">
      <c r="A444" s="670">
        <v>99</v>
      </c>
      <c r="B444" s="670">
        <f>B443+768</f>
        <v>12017</v>
      </c>
      <c r="E444" s="5"/>
      <c r="F444" s="5"/>
      <c r="G444" s="4"/>
      <c r="H444" s="4"/>
      <c r="I444" s="4"/>
      <c r="J444" s="4"/>
      <c r="K444" s="4"/>
      <c r="L444" s="4"/>
      <c r="AJ444" s="4"/>
      <c r="IU444"/>
      <c r="IV444"/>
    </row>
    <row r="445" spans="1:256" s="2" customFormat="1" ht="7.5" customHeight="1">
      <c r="A445" s="670">
        <v>100</v>
      </c>
      <c r="B445" s="670">
        <f>B444+768</f>
        <v>12785</v>
      </c>
      <c r="E445" s="5"/>
      <c r="F445" s="5"/>
      <c r="G445" s="4"/>
      <c r="H445" s="4"/>
      <c r="I445" s="4"/>
      <c r="J445" s="4"/>
      <c r="K445" s="4"/>
      <c r="L445" s="4"/>
      <c r="AJ445" s="4"/>
      <c r="IU445"/>
      <c r="IV445"/>
    </row>
    <row r="446" spans="1:256" s="2" customFormat="1" ht="7.5" customHeight="1">
      <c r="A446" s="670">
        <v>101</v>
      </c>
      <c r="B446" s="670">
        <f>B445+1024</f>
        <v>13809</v>
      </c>
      <c r="E446" s="5"/>
      <c r="F446" s="5"/>
      <c r="G446" s="4"/>
      <c r="H446" s="4"/>
      <c r="I446" s="4"/>
      <c r="J446" s="4"/>
      <c r="K446" s="4"/>
      <c r="L446" s="4"/>
      <c r="AJ446" s="4"/>
      <c r="IU446"/>
      <c r="IV446"/>
    </row>
    <row r="447" spans="1:256" s="2" customFormat="1" ht="7.5" customHeight="1">
      <c r="A447" s="670">
        <v>102</v>
      </c>
      <c r="B447" s="670">
        <f>B446+1024</f>
        <v>14833</v>
      </c>
      <c r="E447" s="5"/>
      <c r="F447" s="5"/>
      <c r="G447" s="4"/>
      <c r="H447" s="4"/>
      <c r="I447" s="4"/>
      <c r="J447" s="4"/>
      <c r="K447" s="4"/>
      <c r="L447" s="4"/>
      <c r="AJ447" s="4"/>
      <c r="IU447"/>
      <c r="IV447"/>
    </row>
    <row r="448" spans="1:256" s="2" customFormat="1" ht="7.5" customHeight="1">
      <c r="A448" s="670">
        <v>103</v>
      </c>
      <c r="B448" s="670">
        <f>B447+1024</f>
        <v>15857</v>
      </c>
      <c r="E448" s="5"/>
      <c r="F448" s="5"/>
      <c r="G448" s="4"/>
      <c r="H448" s="4"/>
      <c r="I448" s="4"/>
      <c r="J448" s="4"/>
      <c r="K448" s="4"/>
      <c r="L448" s="4"/>
      <c r="AJ448" s="4"/>
      <c r="IU448"/>
      <c r="IV448"/>
    </row>
    <row r="449" spans="1:256" s="4" customFormat="1" ht="7.5" customHeight="1">
      <c r="A449" s="670">
        <v>104</v>
      </c>
      <c r="B449" s="670">
        <f>B448+1024</f>
        <v>16881</v>
      </c>
      <c r="C449" s="2"/>
      <c r="D449" s="2"/>
      <c r="E449" s="5"/>
      <c r="F449" s="5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K449" s="2"/>
      <c r="AL449" s="2"/>
      <c r="AM449" s="2"/>
      <c r="AN449" s="2"/>
      <c r="AO449" s="2"/>
      <c r="AP449" s="2"/>
      <c r="AQ449" s="2"/>
      <c r="IU449"/>
      <c r="IV449"/>
    </row>
    <row r="450" spans="1:256" s="2" customFormat="1" ht="7.5" customHeight="1">
      <c r="A450" s="670">
        <v>105</v>
      </c>
      <c r="B450" s="670">
        <f>B449+1024</f>
        <v>17905</v>
      </c>
      <c r="E450" s="5"/>
      <c r="F450" s="5"/>
      <c r="G450" s="4"/>
      <c r="H450" s="4"/>
      <c r="I450" s="4"/>
      <c r="J450" s="4"/>
      <c r="K450" s="4"/>
      <c r="L450" s="4"/>
      <c r="AJ450" s="4"/>
      <c r="IU450"/>
      <c r="IV450"/>
    </row>
    <row r="451" spans="1:256" s="2" customFormat="1" ht="7.5" customHeight="1">
      <c r="A451" s="670">
        <v>106</v>
      </c>
      <c r="B451" s="670">
        <f>B450+1536</f>
        <v>19441</v>
      </c>
      <c r="E451" s="5"/>
      <c r="F451" s="5"/>
      <c r="G451" s="4"/>
      <c r="H451" s="4"/>
      <c r="I451" s="4"/>
      <c r="J451" s="4"/>
      <c r="K451" s="4"/>
      <c r="L451" s="4"/>
      <c r="AJ451" s="4"/>
      <c r="IU451"/>
      <c r="IV451"/>
    </row>
    <row r="452" spans="1:256" s="2" customFormat="1" ht="7.5" customHeight="1">
      <c r="A452" s="670">
        <v>107</v>
      </c>
      <c r="B452" s="670">
        <f>B451+1536</f>
        <v>20977</v>
      </c>
      <c r="E452" s="5"/>
      <c r="F452" s="5"/>
      <c r="G452" s="4"/>
      <c r="H452" s="4"/>
      <c r="I452" s="4"/>
      <c r="J452" s="4"/>
      <c r="K452" s="4"/>
      <c r="L452" s="4"/>
      <c r="AJ452" s="4"/>
      <c r="IU452"/>
      <c r="IV452"/>
    </row>
    <row r="453" spans="1:256" s="2" customFormat="1" ht="7.5" customHeight="1">
      <c r="A453" s="670">
        <v>108</v>
      </c>
      <c r="B453" s="670">
        <f>B452+1536</f>
        <v>22513</v>
      </c>
      <c r="E453" s="5"/>
      <c r="F453" s="5"/>
      <c r="G453" s="4"/>
      <c r="H453" s="4"/>
      <c r="I453" s="4"/>
      <c r="J453" s="4"/>
      <c r="K453" s="4"/>
      <c r="L453" s="4"/>
      <c r="AJ453" s="4"/>
      <c r="IU453"/>
      <c r="IV453"/>
    </row>
    <row r="454" spans="1:256" s="2" customFormat="1" ht="7.5" customHeight="1">
      <c r="A454" s="670">
        <v>109</v>
      </c>
      <c r="B454" s="670">
        <f>B453+1536</f>
        <v>24049</v>
      </c>
      <c r="E454" s="5"/>
      <c r="F454" s="5"/>
      <c r="G454" s="4"/>
      <c r="H454" s="4"/>
      <c r="I454" s="4"/>
      <c r="J454" s="4"/>
      <c r="K454" s="4"/>
      <c r="L454" s="4"/>
      <c r="AJ454" s="4"/>
      <c r="IU454"/>
      <c r="IV454"/>
    </row>
    <row r="455" spans="1:256" s="2" customFormat="1" ht="7.5" customHeight="1">
      <c r="A455" s="670">
        <v>110</v>
      </c>
      <c r="B455" s="670">
        <f>B454+1536</f>
        <v>25585</v>
      </c>
      <c r="E455" s="5"/>
      <c r="F455" s="5"/>
      <c r="G455" s="4"/>
      <c r="H455" s="4"/>
      <c r="I455" s="4"/>
      <c r="J455" s="4"/>
      <c r="K455" s="4"/>
      <c r="L455" s="4"/>
      <c r="AJ455" s="4"/>
      <c r="IU455"/>
      <c r="IV455"/>
    </row>
    <row r="456" spans="1:256" s="2" customFormat="1" ht="7.5" customHeight="1">
      <c r="A456" s="670">
        <v>111</v>
      </c>
      <c r="B456" s="670">
        <f>B455+2048</f>
        <v>27633</v>
      </c>
      <c r="E456" s="5"/>
      <c r="F456" s="5"/>
      <c r="G456" s="4"/>
      <c r="H456" s="4"/>
      <c r="I456" s="4"/>
      <c r="J456" s="4"/>
      <c r="K456" s="4"/>
      <c r="L456" s="4"/>
      <c r="AJ456" s="4"/>
      <c r="IU456"/>
      <c r="IV456"/>
    </row>
    <row r="457" spans="1:256" s="2" customFormat="1" ht="12.75">
      <c r="A457" s="670">
        <v>112</v>
      </c>
      <c r="B457" s="670">
        <f>B456+2048</f>
        <v>29681</v>
      </c>
      <c r="E457" s="5"/>
      <c r="F457" s="5"/>
      <c r="G457" s="4"/>
      <c r="H457" s="4"/>
      <c r="I457" s="4"/>
      <c r="J457" s="4"/>
      <c r="K457" s="4"/>
      <c r="L457" s="4"/>
      <c r="AJ457" s="4"/>
      <c r="IU457"/>
      <c r="IV457"/>
    </row>
    <row r="458" spans="1:256" s="2" customFormat="1" ht="12.75">
      <c r="A458" s="670">
        <v>113</v>
      </c>
      <c r="B458" s="670">
        <f>B457+2048</f>
        <v>31729</v>
      </c>
      <c r="E458" s="5"/>
      <c r="F458" s="5"/>
      <c r="G458" s="4"/>
      <c r="H458" s="4"/>
      <c r="I458" s="4"/>
      <c r="J458" s="4"/>
      <c r="K458" s="4"/>
      <c r="L458" s="4"/>
      <c r="AJ458" s="4"/>
      <c r="IU458"/>
      <c r="IV458"/>
    </row>
    <row r="459" spans="1:256" s="2" customFormat="1" ht="12.75">
      <c r="A459" s="670">
        <v>114</v>
      </c>
      <c r="B459" s="670">
        <f>B458+2048</f>
        <v>33777</v>
      </c>
      <c r="E459" s="5"/>
      <c r="F459" s="5"/>
      <c r="G459" s="4"/>
      <c r="H459" s="4"/>
      <c r="I459" s="4"/>
      <c r="J459" s="4"/>
      <c r="K459" s="4"/>
      <c r="L459" s="4"/>
      <c r="AJ459" s="4"/>
      <c r="IU459"/>
      <c r="IV459"/>
    </row>
    <row r="460" spans="1:256" s="2" customFormat="1" ht="12.75">
      <c r="A460" s="670">
        <v>115</v>
      </c>
      <c r="B460" s="670">
        <f>B459+2048</f>
        <v>35825</v>
      </c>
      <c r="E460" s="5"/>
      <c r="F460" s="5"/>
      <c r="G460" s="4"/>
      <c r="H460" s="4"/>
      <c r="I460" s="4"/>
      <c r="J460" s="4"/>
      <c r="K460" s="4"/>
      <c r="L460" s="4"/>
      <c r="AJ460" s="4"/>
      <c r="IU460"/>
      <c r="IV460"/>
    </row>
    <row r="461" spans="1:256" s="2" customFormat="1" ht="12.75">
      <c r="A461" s="670">
        <v>116</v>
      </c>
      <c r="B461" s="670">
        <f>B460+3072</f>
        <v>38897</v>
      </c>
      <c r="E461" s="5"/>
      <c r="F461" s="5"/>
      <c r="G461" s="4"/>
      <c r="H461" s="4"/>
      <c r="I461" s="4"/>
      <c r="J461" s="4"/>
      <c r="K461" s="4"/>
      <c r="L461" s="4"/>
      <c r="AJ461" s="4"/>
      <c r="IU461"/>
      <c r="IV461"/>
    </row>
    <row r="462" spans="1:256" s="2" customFormat="1" ht="12.75">
      <c r="A462" s="670">
        <v>117</v>
      </c>
      <c r="B462" s="670">
        <f>B461+3072</f>
        <v>41969</v>
      </c>
      <c r="E462" s="5"/>
      <c r="F462" s="5"/>
      <c r="G462" s="4"/>
      <c r="H462" s="4"/>
      <c r="I462" s="4"/>
      <c r="J462" s="4"/>
      <c r="K462" s="4"/>
      <c r="L462" s="4"/>
      <c r="AJ462" s="4"/>
      <c r="IU462"/>
      <c r="IV462"/>
    </row>
    <row r="463" spans="1:256" s="2" customFormat="1" ht="12.75">
      <c r="A463" s="670">
        <v>118</v>
      </c>
      <c r="B463" s="670">
        <f>B462+3072</f>
        <v>45041</v>
      </c>
      <c r="E463" s="5"/>
      <c r="F463" s="5"/>
      <c r="G463" s="4"/>
      <c r="H463" s="4"/>
      <c r="I463" s="4"/>
      <c r="J463" s="4"/>
      <c r="K463" s="4"/>
      <c r="L463" s="4"/>
      <c r="AJ463" s="4"/>
      <c r="IU463"/>
      <c r="IV463"/>
    </row>
    <row r="464" spans="1:256" s="2" customFormat="1" ht="12.75">
      <c r="A464" s="670">
        <v>119</v>
      </c>
      <c r="B464" s="670">
        <f>B463+3072</f>
        <v>48113</v>
      </c>
      <c r="E464" s="5"/>
      <c r="F464" s="5"/>
      <c r="G464" s="4"/>
      <c r="H464" s="4"/>
      <c r="I464" s="4"/>
      <c r="J464" s="4"/>
      <c r="K464" s="4"/>
      <c r="L464" s="4"/>
      <c r="AJ464" s="4"/>
      <c r="IU464"/>
      <c r="IV464"/>
    </row>
    <row r="465" spans="1:256" s="2" customFormat="1" ht="12.75">
      <c r="A465" s="670">
        <v>120</v>
      </c>
      <c r="B465" s="670">
        <f>B464+3072</f>
        <v>51185</v>
      </c>
      <c r="E465" s="5"/>
      <c r="F465" s="5"/>
      <c r="G465" s="4"/>
      <c r="H465" s="4"/>
      <c r="I465" s="4"/>
      <c r="J465" s="4"/>
      <c r="K465" s="4"/>
      <c r="L465" s="4"/>
      <c r="AJ465" s="4"/>
      <c r="IU465"/>
      <c r="IV465"/>
    </row>
    <row r="466" spans="5:256" s="2" customFormat="1" ht="12.75">
      <c r="E466" s="5"/>
      <c r="F466" s="5"/>
      <c r="G466" s="4"/>
      <c r="H466" s="4"/>
      <c r="I466" s="4"/>
      <c r="J466" s="4"/>
      <c r="K466" s="4"/>
      <c r="L466" s="4"/>
      <c r="AJ466" s="4"/>
      <c r="IU466"/>
      <c r="IV466"/>
    </row>
    <row r="467" spans="5:256" s="2" customFormat="1" ht="12.75">
      <c r="E467" s="5"/>
      <c r="F467" s="5"/>
      <c r="G467" s="4"/>
      <c r="H467" s="4"/>
      <c r="I467" s="4"/>
      <c r="J467" s="4"/>
      <c r="K467" s="4"/>
      <c r="L467" s="4"/>
      <c r="AJ467" s="4"/>
      <c r="IU467"/>
      <c r="IV467"/>
    </row>
    <row r="468" spans="5:256" s="2" customFormat="1" ht="12.75">
      <c r="E468" s="5"/>
      <c r="F468" s="5"/>
      <c r="G468" s="4"/>
      <c r="H468" s="4"/>
      <c r="I468" s="4"/>
      <c r="J468" s="4"/>
      <c r="K468" s="4"/>
      <c r="L468" s="4"/>
      <c r="AJ468" s="4"/>
      <c r="IU468"/>
      <c r="IV468"/>
    </row>
    <row r="469" spans="5:256" s="2" customFormat="1" ht="12.75">
      <c r="E469" s="5"/>
      <c r="F469" s="5"/>
      <c r="G469" s="4"/>
      <c r="H469" s="4"/>
      <c r="I469" s="4"/>
      <c r="J469" s="4"/>
      <c r="K469" s="4"/>
      <c r="L469" s="4"/>
      <c r="AJ469" s="4"/>
      <c r="IU469"/>
      <c r="IV469"/>
    </row>
    <row r="470" spans="5:256" s="2" customFormat="1" ht="12.75">
      <c r="E470" s="5"/>
      <c r="F470" s="5"/>
      <c r="G470" s="4"/>
      <c r="H470" s="4"/>
      <c r="I470" s="4"/>
      <c r="J470" s="4"/>
      <c r="K470" s="4"/>
      <c r="L470" s="4"/>
      <c r="AJ470" s="4"/>
      <c r="IU470"/>
      <c r="IV470"/>
    </row>
    <row r="471" spans="5:256" s="2" customFormat="1" ht="12.75">
      <c r="E471" s="5"/>
      <c r="F471" s="5"/>
      <c r="G471" s="4"/>
      <c r="H471" s="4"/>
      <c r="I471" s="4"/>
      <c r="J471" s="4"/>
      <c r="K471" s="4"/>
      <c r="L471" s="4"/>
      <c r="AJ471" s="4"/>
      <c r="IU471"/>
      <c r="IV471"/>
    </row>
    <row r="472" spans="5:256" s="2" customFormat="1" ht="12.75">
      <c r="E472" s="5"/>
      <c r="F472" s="5"/>
      <c r="G472" s="4"/>
      <c r="H472" s="4"/>
      <c r="I472" s="4"/>
      <c r="J472" s="4"/>
      <c r="K472" s="4"/>
      <c r="L472" s="4"/>
      <c r="AJ472" s="4"/>
      <c r="IU472"/>
      <c r="IV472"/>
    </row>
    <row r="473" spans="5:256" s="2" customFormat="1" ht="12.75">
      <c r="E473" s="5"/>
      <c r="F473" s="5"/>
      <c r="G473" s="4"/>
      <c r="H473" s="4"/>
      <c r="I473" s="4"/>
      <c r="J473" s="4"/>
      <c r="K473" s="4"/>
      <c r="L473" s="4"/>
      <c r="AJ473" s="4"/>
      <c r="IU473"/>
      <c r="IV473"/>
    </row>
    <row r="474" spans="5:256" s="2" customFormat="1" ht="12.75">
      <c r="E474" s="5"/>
      <c r="F474" s="5"/>
      <c r="G474" s="4"/>
      <c r="H474" s="4"/>
      <c r="I474" s="4"/>
      <c r="J474" s="4"/>
      <c r="K474" s="4"/>
      <c r="L474" s="4"/>
      <c r="AJ474" s="4"/>
      <c r="IU474"/>
      <c r="IV474"/>
    </row>
    <row r="475" spans="5:256" s="2" customFormat="1" ht="12.75">
      <c r="E475" s="5"/>
      <c r="F475" s="5"/>
      <c r="G475" s="4"/>
      <c r="H475" s="4"/>
      <c r="I475" s="4"/>
      <c r="J475" s="4"/>
      <c r="K475" s="4"/>
      <c r="L475" s="4"/>
      <c r="AJ475" s="4"/>
      <c r="IU475"/>
      <c r="IV475"/>
    </row>
    <row r="476" spans="5:256" s="2" customFormat="1" ht="12.75">
      <c r="E476" s="5"/>
      <c r="F476" s="5"/>
      <c r="G476" s="4"/>
      <c r="H476" s="4"/>
      <c r="I476" s="4"/>
      <c r="J476" s="4"/>
      <c r="K476" s="4"/>
      <c r="L476" s="4"/>
      <c r="AJ476" s="4"/>
      <c r="IU476"/>
      <c r="IV476"/>
    </row>
    <row r="477" spans="5:256" s="2" customFormat="1" ht="12.75">
      <c r="E477" s="5"/>
      <c r="F477" s="5"/>
      <c r="G477" s="4"/>
      <c r="H477" s="4"/>
      <c r="I477" s="4"/>
      <c r="J477" s="4"/>
      <c r="K477" s="4"/>
      <c r="L477" s="4"/>
      <c r="AJ477" s="4"/>
      <c r="IU477"/>
      <c r="IV477"/>
    </row>
    <row r="478" spans="5:256" s="2" customFormat="1" ht="12.75">
      <c r="E478" s="5"/>
      <c r="F478" s="5"/>
      <c r="G478" s="4"/>
      <c r="H478" s="4"/>
      <c r="I478" s="4"/>
      <c r="J478" s="4"/>
      <c r="K478" s="4"/>
      <c r="L478" s="4"/>
      <c r="AJ478" s="4"/>
      <c r="IU478"/>
      <c r="IV478"/>
    </row>
    <row r="479" spans="5:256" s="2" customFormat="1" ht="12.75">
      <c r="E479" s="5"/>
      <c r="F479" s="5"/>
      <c r="G479" s="4"/>
      <c r="H479" s="4"/>
      <c r="I479" s="4"/>
      <c r="J479" s="4"/>
      <c r="K479" s="4"/>
      <c r="L479" s="4"/>
      <c r="AJ479" s="4"/>
      <c r="IU479"/>
      <c r="IV479"/>
    </row>
    <row r="480" spans="5:256" s="2" customFormat="1" ht="12.75">
      <c r="E480" s="5"/>
      <c r="F480" s="5"/>
      <c r="G480" s="4"/>
      <c r="H480" s="4"/>
      <c r="I480" s="4"/>
      <c r="J480" s="4"/>
      <c r="K480" s="4"/>
      <c r="L480" s="4"/>
      <c r="AJ480" s="4"/>
      <c r="IU480"/>
      <c r="IV480"/>
    </row>
    <row r="481" spans="5:256" s="2" customFormat="1" ht="12.75">
      <c r="E481" s="5"/>
      <c r="F481" s="5"/>
      <c r="G481" s="4"/>
      <c r="H481" s="4"/>
      <c r="I481" s="4"/>
      <c r="J481" s="4"/>
      <c r="K481" s="4"/>
      <c r="L481" s="4"/>
      <c r="AJ481" s="4"/>
      <c r="IU481"/>
      <c r="IV481"/>
    </row>
    <row r="482" spans="5:256" s="2" customFormat="1" ht="12.75">
      <c r="E482" s="5"/>
      <c r="F482" s="5"/>
      <c r="G482" s="4"/>
      <c r="H482" s="4"/>
      <c r="I482" s="4"/>
      <c r="J482" s="4"/>
      <c r="K482" s="4"/>
      <c r="L482" s="4"/>
      <c r="AJ482" s="4"/>
      <c r="IU482"/>
      <c r="IV482"/>
    </row>
    <row r="483" spans="5:256" s="2" customFormat="1" ht="12.75">
      <c r="E483" s="5"/>
      <c r="F483" s="5"/>
      <c r="G483" s="4"/>
      <c r="H483" s="4"/>
      <c r="I483" s="4"/>
      <c r="J483" s="4"/>
      <c r="K483" s="4"/>
      <c r="L483" s="4"/>
      <c r="AJ483" s="4"/>
      <c r="IU483"/>
      <c r="IV483"/>
    </row>
    <row r="484" spans="5:256" s="2" customFormat="1" ht="12.75">
      <c r="E484" s="5"/>
      <c r="F484" s="5"/>
      <c r="G484" s="4"/>
      <c r="H484" s="4"/>
      <c r="I484" s="4"/>
      <c r="J484" s="4"/>
      <c r="K484" s="4"/>
      <c r="L484" s="4"/>
      <c r="AJ484" s="4"/>
      <c r="IU484"/>
      <c r="IV484"/>
    </row>
    <row r="485" spans="5:256" s="2" customFormat="1" ht="12.75">
      <c r="E485" s="5"/>
      <c r="F485" s="5"/>
      <c r="G485" s="4"/>
      <c r="H485" s="4"/>
      <c r="I485" s="4"/>
      <c r="J485" s="4"/>
      <c r="K485" s="4"/>
      <c r="L485" s="4"/>
      <c r="AJ485" s="4"/>
      <c r="IU485"/>
      <c r="IV485"/>
    </row>
    <row r="486" spans="5:256" s="2" customFormat="1" ht="12.75">
      <c r="E486" s="5"/>
      <c r="F486" s="5"/>
      <c r="G486" s="4"/>
      <c r="H486" s="4"/>
      <c r="I486" s="4"/>
      <c r="J486" s="4"/>
      <c r="K486" s="4"/>
      <c r="L486" s="4"/>
      <c r="AJ486" s="4"/>
      <c r="IU486"/>
      <c r="IV486"/>
    </row>
    <row r="487" spans="5:256" s="2" customFormat="1" ht="12.75">
      <c r="E487" s="5"/>
      <c r="F487" s="5"/>
      <c r="G487" s="4"/>
      <c r="H487" s="4"/>
      <c r="I487" s="4"/>
      <c r="J487" s="4"/>
      <c r="K487" s="4"/>
      <c r="L487" s="4"/>
      <c r="AJ487" s="4"/>
      <c r="IU487"/>
      <c r="IV487"/>
    </row>
    <row r="488" spans="5:256" s="2" customFormat="1" ht="12.75">
      <c r="E488" s="5"/>
      <c r="F488" s="5"/>
      <c r="G488" s="4"/>
      <c r="H488" s="4"/>
      <c r="I488" s="4"/>
      <c r="J488" s="4"/>
      <c r="K488" s="4"/>
      <c r="L488" s="4"/>
      <c r="AJ488" s="4"/>
      <c r="IU488"/>
      <c r="IV488"/>
    </row>
    <row r="489" spans="5:256" s="2" customFormat="1" ht="12.75">
      <c r="E489" s="5"/>
      <c r="F489" s="5"/>
      <c r="G489" s="4"/>
      <c r="H489" s="4"/>
      <c r="I489" s="4"/>
      <c r="J489" s="4"/>
      <c r="K489" s="4"/>
      <c r="L489" s="4"/>
      <c r="AJ489" s="4"/>
      <c r="IU489"/>
      <c r="IV489"/>
    </row>
    <row r="490" spans="5:256" s="2" customFormat="1" ht="12.75">
      <c r="E490" s="5"/>
      <c r="F490" s="5"/>
      <c r="G490" s="4"/>
      <c r="H490" s="4"/>
      <c r="I490" s="4"/>
      <c r="J490" s="4"/>
      <c r="K490" s="4"/>
      <c r="L490" s="4"/>
      <c r="AJ490" s="4"/>
      <c r="IU490"/>
      <c r="IV490"/>
    </row>
    <row r="491" spans="5:256" s="2" customFormat="1" ht="12.75">
      <c r="E491" s="5"/>
      <c r="F491" s="5"/>
      <c r="G491" s="4"/>
      <c r="H491" s="4"/>
      <c r="I491" s="4"/>
      <c r="J491" s="4"/>
      <c r="K491" s="4"/>
      <c r="L491" s="4"/>
      <c r="AJ491" s="4"/>
      <c r="IU491"/>
      <c r="IV491"/>
    </row>
    <row r="492" spans="5:256" s="2" customFormat="1" ht="12.75">
      <c r="E492" s="5"/>
      <c r="F492" s="5"/>
      <c r="G492" s="4"/>
      <c r="H492" s="4"/>
      <c r="I492" s="4"/>
      <c r="J492" s="4"/>
      <c r="K492" s="4"/>
      <c r="L492" s="4"/>
      <c r="AJ492" s="4"/>
      <c r="IU492"/>
      <c r="IV492"/>
    </row>
    <row r="493" spans="5:256" s="2" customFormat="1" ht="12.75">
      <c r="E493" s="5"/>
      <c r="F493" s="5"/>
      <c r="G493" s="4"/>
      <c r="H493" s="4"/>
      <c r="I493" s="4"/>
      <c r="J493" s="4"/>
      <c r="K493" s="4"/>
      <c r="L493" s="4"/>
      <c r="AJ493" s="4"/>
      <c r="IU493"/>
      <c r="IV493"/>
    </row>
    <row r="494" spans="5:256" s="2" customFormat="1" ht="12.75">
      <c r="E494" s="5"/>
      <c r="F494" s="5"/>
      <c r="G494" s="4"/>
      <c r="H494" s="4"/>
      <c r="I494" s="4"/>
      <c r="J494" s="4"/>
      <c r="K494" s="4"/>
      <c r="L494" s="4"/>
      <c r="AJ494" s="4"/>
      <c r="IU494"/>
      <c r="IV494"/>
    </row>
    <row r="495" spans="5:256" s="2" customFormat="1" ht="12.75">
      <c r="E495" s="5"/>
      <c r="F495" s="5"/>
      <c r="G495" s="4"/>
      <c r="H495" s="4"/>
      <c r="I495" s="4"/>
      <c r="J495" s="4"/>
      <c r="K495" s="4"/>
      <c r="L495" s="4"/>
      <c r="AJ495" s="4"/>
      <c r="IU495"/>
      <c r="IV495"/>
    </row>
    <row r="496" spans="5:256" s="2" customFormat="1" ht="12.75">
      <c r="E496" s="5"/>
      <c r="F496" s="5"/>
      <c r="G496" s="4"/>
      <c r="H496" s="4"/>
      <c r="I496" s="4"/>
      <c r="J496" s="4"/>
      <c r="K496" s="4"/>
      <c r="L496" s="4"/>
      <c r="AJ496" s="4"/>
      <c r="IU496"/>
      <c r="IV496"/>
    </row>
    <row r="497" spans="5:256" s="2" customFormat="1" ht="12.75">
      <c r="E497" s="5"/>
      <c r="F497" s="5"/>
      <c r="G497" s="4"/>
      <c r="H497" s="4"/>
      <c r="I497" s="4"/>
      <c r="J497" s="4"/>
      <c r="K497" s="4"/>
      <c r="L497" s="4"/>
      <c r="AJ497" s="4"/>
      <c r="IU497"/>
      <c r="IV497"/>
    </row>
    <row r="498" spans="5:256" s="2" customFormat="1" ht="12.75">
      <c r="E498" s="5"/>
      <c r="F498" s="5"/>
      <c r="G498" s="4"/>
      <c r="H498" s="4"/>
      <c r="I498" s="4"/>
      <c r="J498" s="4"/>
      <c r="K498" s="4"/>
      <c r="L498" s="4"/>
      <c r="AJ498" s="4"/>
      <c r="IU498"/>
      <c r="IV498"/>
    </row>
    <row r="499" spans="5:256" s="2" customFormat="1" ht="12.75">
      <c r="E499" s="5"/>
      <c r="F499" s="5"/>
      <c r="G499" s="4"/>
      <c r="H499" s="4"/>
      <c r="I499" s="4"/>
      <c r="J499" s="4"/>
      <c r="K499" s="4"/>
      <c r="L499" s="4"/>
      <c r="AJ499" s="4"/>
      <c r="IU499"/>
      <c r="IV499"/>
    </row>
    <row r="500" spans="5:256" s="2" customFormat="1" ht="12.75">
      <c r="E500" s="5"/>
      <c r="F500" s="5"/>
      <c r="G500" s="4"/>
      <c r="H500" s="4"/>
      <c r="I500" s="4"/>
      <c r="J500" s="4"/>
      <c r="K500" s="4"/>
      <c r="L500" s="4"/>
      <c r="AJ500" s="4"/>
      <c r="IU500"/>
      <c r="IV500"/>
    </row>
    <row r="501" spans="5:256" s="2" customFormat="1" ht="12.75">
      <c r="E501" s="5"/>
      <c r="F501" s="5"/>
      <c r="G501" s="4"/>
      <c r="H501" s="4"/>
      <c r="I501" s="4"/>
      <c r="J501" s="4"/>
      <c r="K501" s="4"/>
      <c r="L501" s="4"/>
      <c r="AJ501" s="4"/>
      <c r="IU501"/>
      <c r="IV501"/>
    </row>
    <row r="502" spans="5:256" s="2" customFormat="1" ht="12.75">
      <c r="E502" s="5"/>
      <c r="F502" s="5"/>
      <c r="G502" s="4"/>
      <c r="H502" s="4"/>
      <c r="I502" s="4"/>
      <c r="J502" s="4"/>
      <c r="K502" s="4"/>
      <c r="L502" s="4"/>
      <c r="AJ502" s="4"/>
      <c r="IU502"/>
      <c r="IV502"/>
    </row>
    <row r="503" spans="5:256" s="2" customFormat="1" ht="12.75">
      <c r="E503" s="5"/>
      <c r="F503" s="5"/>
      <c r="G503" s="4"/>
      <c r="H503" s="4"/>
      <c r="I503" s="4"/>
      <c r="J503" s="4"/>
      <c r="K503" s="4"/>
      <c r="L503" s="4"/>
      <c r="AJ503" s="4"/>
      <c r="IU503"/>
      <c r="IV503"/>
    </row>
    <row r="504" spans="5:256" s="2" customFormat="1" ht="12.75">
      <c r="E504" s="5"/>
      <c r="F504" s="5"/>
      <c r="G504" s="4"/>
      <c r="H504" s="4"/>
      <c r="I504" s="4"/>
      <c r="J504" s="4"/>
      <c r="K504" s="4"/>
      <c r="L504" s="4"/>
      <c r="AJ504" s="4"/>
      <c r="IU504"/>
      <c r="IV504"/>
    </row>
    <row r="505" spans="5:256" s="2" customFormat="1" ht="12.75">
      <c r="E505" s="5"/>
      <c r="F505" s="5"/>
      <c r="G505" s="4"/>
      <c r="H505" s="4"/>
      <c r="I505" s="4"/>
      <c r="J505" s="4"/>
      <c r="K505" s="4"/>
      <c r="L505" s="4"/>
      <c r="AJ505" s="4"/>
      <c r="IU505"/>
      <c r="IV505"/>
    </row>
    <row r="506" spans="5:256" s="2" customFormat="1" ht="12.75">
      <c r="E506" s="5"/>
      <c r="F506" s="5"/>
      <c r="G506" s="4"/>
      <c r="H506" s="4"/>
      <c r="I506" s="4"/>
      <c r="J506" s="4"/>
      <c r="K506" s="4"/>
      <c r="L506" s="4"/>
      <c r="AJ506" s="4"/>
      <c r="IU506"/>
      <c r="IV506"/>
    </row>
    <row r="507" spans="5:256" s="2" customFormat="1" ht="12.75">
      <c r="E507" s="5"/>
      <c r="F507" s="5"/>
      <c r="G507" s="4"/>
      <c r="H507" s="4"/>
      <c r="I507" s="4"/>
      <c r="J507" s="4"/>
      <c r="K507" s="4"/>
      <c r="L507" s="4"/>
      <c r="AJ507" s="4"/>
      <c r="IU507"/>
      <c r="IV507"/>
    </row>
    <row r="508" spans="5:256" s="2" customFormat="1" ht="12.75">
      <c r="E508" s="5"/>
      <c r="F508" s="5"/>
      <c r="G508" s="4"/>
      <c r="H508" s="4"/>
      <c r="I508" s="4"/>
      <c r="J508" s="4"/>
      <c r="K508" s="4"/>
      <c r="L508" s="4"/>
      <c r="AJ508" s="4"/>
      <c r="IU508"/>
      <c r="IV508"/>
    </row>
    <row r="509" spans="5:256" s="2" customFormat="1" ht="12.75">
      <c r="E509" s="5"/>
      <c r="F509" s="5"/>
      <c r="G509" s="4"/>
      <c r="H509" s="4"/>
      <c r="I509" s="4"/>
      <c r="J509" s="4"/>
      <c r="K509" s="4"/>
      <c r="L509" s="4"/>
      <c r="AJ509" s="4"/>
      <c r="IU509"/>
      <c r="IV509"/>
    </row>
    <row r="510" spans="5:256" s="2" customFormat="1" ht="12.75">
      <c r="E510" s="5"/>
      <c r="F510" s="5"/>
      <c r="G510" s="4"/>
      <c r="H510" s="4"/>
      <c r="I510" s="4"/>
      <c r="J510" s="4"/>
      <c r="K510" s="4"/>
      <c r="L510" s="4"/>
      <c r="AJ510" s="4"/>
      <c r="IU510"/>
      <c r="IV510"/>
    </row>
    <row r="511" spans="5:256" s="2" customFormat="1" ht="12.75">
      <c r="E511" s="5"/>
      <c r="F511" s="5"/>
      <c r="G511" s="4"/>
      <c r="H511" s="4"/>
      <c r="I511" s="4"/>
      <c r="J511" s="4"/>
      <c r="K511" s="4"/>
      <c r="L511" s="4"/>
      <c r="AJ511" s="4"/>
      <c r="IU511"/>
      <c r="IV511"/>
    </row>
    <row r="512" spans="5:256" s="2" customFormat="1" ht="12.75">
      <c r="E512" s="5"/>
      <c r="F512" s="5"/>
      <c r="G512" s="4"/>
      <c r="H512" s="4"/>
      <c r="I512" s="4"/>
      <c r="J512" s="4"/>
      <c r="K512" s="4"/>
      <c r="L512" s="4"/>
      <c r="AJ512" s="4"/>
      <c r="IU512"/>
      <c r="IV512"/>
    </row>
    <row r="513" spans="5:256" s="2" customFormat="1" ht="12.75">
      <c r="E513" s="5"/>
      <c r="F513" s="5"/>
      <c r="G513" s="4"/>
      <c r="H513" s="4"/>
      <c r="I513" s="4"/>
      <c r="J513" s="4"/>
      <c r="K513" s="4"/>
      <c r="L513" s="4"/>
      <c r="AJ513" s="4"/>
      <c r="IU513"/>
      <c r="IV513"/>
    </row>
    <row r="514" spans="5:256" s="2" customFormat="1" ht="12.75">
      <c r="E514" s="5"/>
      <c r="F514" s="5"/>
      <c r="G514" s="4"/>
      <c r="H514" s="4"/>
      <c r="I514" s="4"/>
      <c r="J514" s="4"/>
      <c r="K514" s="4"/>
      <c r="L514" s="4"/>
      <c r="AJ514" s="4"/>
      <c r="IU514"/>
      <c r="IV514"/>
    </row>
    <row r="515" spans="5:256" s="2" customFormat="1" ht="12.75">
      <c r="E515" s="5"/>
      <c r="F515" s="5"/>
      <c r="G515" s="4"/>
      <c r="H515" s="4"/>
      <c r="I515" s="4"/>
      <c r="J515" s="4"/>
      <c r="K515" s="4"/>
      <c r="L515" s="4"/>
      <c r="AJ515" s="4"/>
      <c r="IU515"/>
      <c r="IV515"/>
    </row>
    <row r="516" spans="5:256" s="2" customFormat="1" ht="12.75">
      <c r="E516" s="5"/>
      <c r="F516" s="5"/>
      <c r="G516" s="4"/>
      <c r="H516" s="4"/>
      <c r="I516" s="4"/>
      <c r="J516" s="4"/>
      <c r="K516" s="4"/>
      <c r="L516" s="4"/>
      <c r="AJ516" s="4"/>
      <c r="IU516"/>
      <c r="IV516"/>
    </row>
    <row r="517" spans="5:256" s="2" customFormat="1" ht="12.75">
      <c r="E517" s="5"/>
      <c r="F517" s="5"/>
      <c r="G517" s="4"/>
      <c r="H517" s="4"/>
      <c r="I517" s="4"/>
      <c r="J517" s="4"/>
      <c r="K517" s="4"/>
      <c r="L517" s="4"/>
      <c r="AJ517" s="4"/>
      <c r="IU517"/>
      <c r="IV517"/>
    </row>
    <row r="518" spans="5:256" s="2" customFormat="1" ht="12.75">
      <c r="E518" s="5"/>
      <c r="F518" s="5"/>
      <c r="G518" s="4"/>
      <c r="H518" s="4"/>
      <c r="I518" s="4"/>
      <c r="J518" s="4"/>
      <c r="K518" s="4"/>
      <c r="L518" s="4"/>
      <c r="AJ518" s="4"/>
      <c r="IU518"/>
      <c r="IV518"/>
    </row>
    <row r="519" spans="5:256" s="2" customFormat="1" ht="12.75">
      <c r="E519" s="5"/>
      <c r="F519" s="5"/>
      <c r="G519" s="4"/>
      <c r="H519" s="4"/>
      <c r="I519" s="4"/>
      <c r="J519" s="4"/>
      <c r="K519" s="4"/>
      <c r="L519" s="4"/>
      <c r="AJ519" s="4"/>
      <c r="IU519"/>
      <c r="IV519"/>
    </row>
    <row r="520" spans="5:256" s="2" customFormat="1" ht="12.75">
      <c r="E520" s="5"/>
      <c r="F520" s="5"/>
      <c r="G520" s="4"/>
      <c r="H520" s="4"/>
      <c r="I520" s="4"/>
      <c r="J520" s="4"/>
      <c r="K520" s="4"/>
      <c r="L520" s="4"/>
      <c r="AJ520" s="4"/>
      <c r="IU520"/>
      <c r="IV520"/>
    </row>
    <row r="521" spans="5:256" s="2" customFormat="1" ht="12.75">
      <c r="E521" s="5"/>
      <c r="F521" s="5"/>
      <c r="G521" s="4"/>
      <c r="H521" s="4"/>
      <c r="I521" s="4"/>
      <c r="J521" s="4"/>
      <c r="K521" s="4"/>
      <c r="L521" s="4"/>
      <c r="AJ521" s="4"/>
      <c r="IU521"/>
      <c r="IV521"/>
    </row>
    <row r="522" spans="5:256" s="2" customFormat="1" ht="12.75">
      <c r="E522" s="5"/>
      <c r="F522" s="5"/>
      <c r="G522" s="4"/>
      <c r="H522" s="4"/>
      <c r="I522" s="4"/>
      <c r="J522" s="4"/>
      <c r="K522" s="4"/>
      <c r="L522" s="4"/>
      <c r="AJ522" s="4"/>
      <c r="IU522"/>
      <c r="IV522"/>
    </row>
    <row r="523" spans="5:256" s="2" customFormat="1" ht="12.75">
      <c r="E523" s="5"/>
      <c r="F523" s="5"/>
      <c r="G523" s="4"/>
      <c r="H523" s="4"/>
      <c r="I523" s="4"/>
      <c r="J523" s="4"/>
      <c r="K523" s="4"/>
      <c r="L523" s="4"/>
      <c r="AJ523" s="4"/>
      <c r="IU523"/>
      <c r="IV523"/>
    </row>
    <row r="524" spans="5:256" s="2" customFormat="1" ht="12.75">
      <c r="E524" s="5"/>
      <c r="F524" s="5"/>
      <c r="G524" s="4"/>
      <c r="H524" s="4"/>
      <c r="I524" s="4"/>
      <c r="J524" s="4"/>
      <c r="K524" s="4"/>
      <c r="L524" s="4"/>
      <c r="AJ524" s="4"/>
      <c r="IU524"/>
      <c r="IV524"/>
    </row>
    <row r="525" spans="5:256" s="2" customFormat="1" ht="12.75">
      <c r="E525" s="5"/>
      <c r="F525" s="5"/>
      <c r="G525" s="4"/>
      <c r="H525" s="4"/>
      <c r="I525" s="4"/>
      <c r="J525" s="4"/>
      <c r="K525" s="4"/>
      <c r="L525" s="4"/>
      <c r="AJ525" s="4"/>
      <c r="IU525"/>
      <c r="IV525"/>
    </row>
    <row r="526" spans="5:256" s="2" customFormat="1" ht="12.75">
      <c r="E526" s="5"/>
      <c r="F526" s="5"/>
      <c r="G526" s="4"/>
      <c r="H526" s="4"/>
      <c r="I526" s="4"/>
      <c r="J526" s="4"/>
      <c r="K526" s="4"/>
      <c r="L526" s="4"/>
      <c r="AJ526" s="4"/>
      <c r="IU526"/>
      <c r="IV526"/>
    </row>
    <row r="527" spans="5:256" s="2" customFormat="1" ht="12.75">
      <c r="E527" s="5"/>
      <c r="F527" s="5"/>
      <c r="G527" s="4"/>
      <c r="H527" s="4"/>
      <c r="I527" s="4"/>
      <c r="J527" s="4"/>
      <c r="K527" s="4"/>
      <c r="L527" s="4"/>
      <c r="AJ527" s="4"/>
      <c r="IU527"/>
      <c r="IV527"/>
    </row>
    <row r="528" spans="5:256" s="2" customFormat="1" ht="12.75">
      <c r="E528" s="5"/>
      <c r="F528" s="5"/>
      <c r="G528" s="4"/>
      <c r="H528" s="4"/>
      <c r="I528" s="4"/>
      <c r="J528" s="4"/>
      <c r="K528" s="4"/>
      <c r="L528" s="4"/>
      <c r="AJ528" s="4"/>
      <c r="IU528"/>
      <c r="IV528"/>
    </row>
    <row r="529" spans="5:256" s="2" customFormat="1" ht="12.75">
      <c r="E529" s="5"/>
      <c r="F529" s="5"/>
      <c r="G529" s="4"/>
      <c r="H529" s="4"/>
      <c r="I529" s="4"/>
      <c r="J529" s="4"/>
      <c r="K529" s="4"/>
      <c r="L529" s="4"/>
      <c r="AJ529" s="4"/>
      <c r="IU529"/>
      <c r="IV529"/>
    </row>
    <row r="530" spans="5:256" s="2" customFormat="1" ht="12.75">
      <c r="E530" s="5"/>
      <c r="F530" s="5"/>
      <c r="G530" s="4"/>
      <c r="H530" s="4"/>
      <c r="I530" s="4"/>
      <c r="J530" s="4"/>
      <c r="K530" s="4"/>
      <c r="L530" s="4"/>
      <c r="AJ530" s="4"/>
      <c r="IU530"/>
      <c r="IV530"/>
    </row>
    <row r="531" spans="5:256" s="2" customFormat="1" ht="12.75">
      <c r="E531" s="5"/>
      <c r="F531" s="5"/>
      <c r="G531" s="4"/>
      <c r="H531" s="4"/>
      <c r="I531" s="4"/>
      <c r="J531" s="4"/>
      <c r="K531" s="4"/>
      <c r="L531" s="4"/>
      <c r="AJ531" s="4"/>
      <c r="IU531"/>
      <c r="IV531"/>
    </row>
    <row r="532" spans="5:256" s="2" customFormat="1" ht="12.75">
      <c r="E532" s="5"/>
      <c r="F532" s="5"/>
      <c r="G532" s="4"/>
      <c r="H532" s="4"/>
      <c r="I532" s="4"/>
      <c r="J532" s="4"/>
      <c r="K532" s="4"/>
      <c r="L532" s="4"/>
      <c r="AJ532" s="4"/>
      <c r="IU532"/>
      <c r="IV532"/>
    </row>
    <row r="533" spans="5:256" s="2" customFormat="1" ht="12.75">
      <c r="E533" s="5"/>
      <c r="F533" s="5"/>
      <c r="G533" s="4"/>
      <c r="H533" s="4"/>
      <c r="I533" s="4"/>
      <c r="J533" s="4"/>
      <c r="K533" s="4"/>
      <c r="L533" s="4"/>
      <c r="AJ533" s="4"/>
      <c r="IU533"/>
      <c r="IV533"/>
    </row>
    <row r="534" spans="5:256" s="2" customFormat="1" ht="12.75">
      <c r="E534" s="5"/>
      <c r="F534" s="5"/>
      <c r="G534" s="4"/>
      <c r="H534" s="4"/>
      <c r="I534" s="4"/>
      <c r="J534" s="4"/>
      <c r="K534" s="4"/>
      <c r="L534" s="4"/>
      <c r="AJ534" s="4"/>
      <c r="IU534"/>
      <c r="IV534"/>
    </row>
    <row r="535" spans="5:256" s="2" customFormat="1" ht="12.75">
      <c r="E535" s="5"/>
      <c r="F535" s="5"/>
      <c r="G535" s="4"/>
      <c r="H535" s="4"/>
      <c r="I535" s="4"/>
      <c r="J535" s="4"/>
      <c r="K535" s="4"/>
      <c r="L535" s="4"/>
      <c r="AJ535" s="4"/>
      <c r="IU535"/>
      <c r="IV535"/>
    </row>
    <row r="536" spans="5:256" s="2" customFormat="1" ht="12.75">
      <c r="E536" s="5"/>
      <c r="F536" s="5"/>
      <c r="G536" s="4"/>
      <c r="H536" s="4"/>
      <c r="I536" s="4"/>
      <c r="J536" s="4"/>
      <c r="K536" s="4"/>
      <c r="L536" s="4"/>
      <c r="AJ536" s="4"/>
      <c r="IU536"/>
      <c r="IV536"/>
    </row>
    <row r="537" spans="5:256" s="2" customFormat="1" ht="12.75">
      <c r="E537" s="5"/>
      <c r="F537" s="5"/>
      <c r="G537" s="4"/>
      <c r="H537" s="4"/>
      <c r="I537" s="4"/>
      <c r="J537" s="4"/>
      <c r="K537" s="4"/>
      <c r="L537" s="4"/>
      <c r="AJ537" s="4"/>
      <c r="IU537"/>
      <c r="IV537"/>
    </row>
    <row r="538" spans="5:256" s="2" customFormat="1" ht="12.75">
      <c r="E538" s="5"/>
      <c r="F538" s="5"/>
      <c r="G538" s="4"/>
      <c r="H538" s="4"/>
      <c r="I538" s="4"/>
      <c r="J538" s="4"/>
      <c r="K538" s="4"/>
      <c r="L538" s="4"/>
      <c r="AJ538" s="4"/>
      <c r="IU538"/>
      <c r="IV538"/>
    </row>
    <row r="539" spans="5:256" s="2" customFormat="1" ht="12.75">
      <c r="E539" s="5"/>
      <c r="F539" s="5"/>
      <c r="G539" s="4"/>
      <c r="H539" s="4"/>
      <c r="I539" s="4"/>
      <c r="J539" s="4"/>
      <c r="K539" s="4"/>
      <c r="L539" s="4"/>
      <c r="AJ539" s="4"/>
      <c r="IU539"/>
      <c r="IV539"/>
    </row>
    <row r="540" spans="5:256" s="2" customFormat="1" ht="12.75">
      <c r="E540" s="5"/>
      <c r="F540" s="5"/>
      <c r="G540" s="4"/>
      <c r="H540" s="4"/>
      <c r="I540" s="4"/>
      <c r="J540" s="4"/>
      <c r="K540" s="4"/>
      <c r="L540" s="4"/>
      <c r="AJ540" s="4"/>
      <c r="IU540"/>
      <c r="IV540"/>
    </row>
    <row r="541" spans="5:256" s="2" customFormat="1" ht="12.75">
      <c r="E541" s="5"/>
      <c r="F541" s="5"/>
      <c r="G541" s="4"/>
      <c r="H541" s="4"/>
      <c r="I541" s="4"/>
      <c r="J541" s="4"/>
      <c r="K541" s="4"/>
      <c r="L541" s="4"/>
      <c r="AJ541" s="4"/>
      <c r="IU541"/>
      <c r="IV541"/>
    </row>
    <row r="542" spans="5:256" s="2" customFormat="1" ht="12.75">
      <c r="E542" s="5"/>
      <c r="F542" s="5"/>
      <c r="G542" s="4"/>
      <c r="H542" s="4"/>
      <c r="I542" s="4"/>
      <c r="J542" s="4"/>
      <c r="K542" s="4"/>
      <c r="L542" s="4"/>
      <c r="AJ542" s="4"/>
      <c r="IU542"/>
      <c r="IV542"/>
    </row>
    <row r="543" spans="5:256" s="2" customFormat="1" ht="12.75">
      <c r="E543" s="5"/>
      <c r="F543" s="5"/>
      <c r="G543" s="4"/>
      <c r="H543" s="4"/>
      <c r="I543" s="4"/>
      <c r="J543" s="4"/>
      <c r="K543" s="4"/>
      <c r="L543" s="4"/>
      <c r="AJ543" s="4"/>
      <c r="IU543"/>
      <c r="IV543"/>
    </row>
    <row r="544" spans="5:256" s="2" customFormat="1" ht="12.75">
      <c r="E544" s="5"/>
      <c r="F544" s="5"/>
      <c r="G544" s="4"/>
      <c r="H544" s="4"/>
      <c r="I544" s="4"/>
      <c r="J544" s="4"/>
      <c r="K544" s="4"/>
      <c r="L544" s="4"/>
      <c r="AJ544" s="4"/>
      <c r="IU544"/>
      <c r="IV544"/>
    </row>
    <row r="545" spans="5:256" s="2" customFormat="1" ht="12.75">
      <c r="E545" s="5"/>
      <c r="F545" s="5"/>
      <c r="G545" s="4"/>
      <c r="H545" s="4"/>
      <c r="I545" s="4"/>
      <c r="J545" s="4"/>
      <c r="K545" s="4"/>
      <c r="L545" s="4"/>
      <c r="AJ545" s="4"/>
      <c r="IU545"/>
      <c r="IV545"/>
    </row>
    <row r="546" spans="5:256" s="2" customFormat="1" ht="12.75">
      <c r="E546" s="5"/>
      <c r="F546" s="5"/>
      <c r="G546" s="4"/>
      <c r="H546" s="4"/>
      <c r="I546" s="4"/>
      <c r="J546" s="4"/>
      <c r="K546" s="4"/>
      <c r="L546" s="4"/>
      <c r="AJ546" s="4"/>
      <c r="IU546"/>
      <c r="IV546"/>
    </row>
    <row r="547" spans="5:256" s="2" customFormat="1" ht="12.75">
      <c r="E547" s="5"/>
      <c r="F547" s="5"/>
      <c r="G547" s="4"/>
      <c r="H547" s="4"/>
      <c r="I547" s="4"/>
      <c r="J547" s="4"/>
      <c r="K547" s="4"/>
      <c r="L547" s="4"/>
      <c r="AJ547" s="4"/>
      <c r="IU547"/>
      <c r="IV547"/>
    </row>
    <row r="548" spans="5:256" s="2" customFormat="1" ht="12.75">
      <c r="E548" s="5"/>
      <c r="F548" s="5"/>
      <c r="G548" s="4"/>
      <c r="H548" s="4"/>
      <c r="I548" s="4"/>
      <c r="J548" s="4"/>
      <c r="K548" s="4"/>
      <c r="L548" s="4"/>
      <c r="AJ548" s="4"/>
      <c r="IU548"/>
      <c r="IV548"/>
    </row>
    <row r="549" spans="5:256" s="2" customFormat="1" ht="12.75">
      <c r="E549" s="5"/>
      <c r="F549" s="5"/>
      <c r="G549" s="4"/>
      <c r="H549" s="4"/>
      <c r="I549" s="4"/>
      <c r="J549" s="4"/>
      <c r="K549" s="4"/>
      <c r="L549" s="4"/>
      <c r="AJ549" s="4"/>
      <c r="IU549"/>
      <c r="IV549"/>
    </row>
    <row r="550" spans="5:256" s="2" customFormat="1" ht="12.75">
      <c r="E550" s="5"/>
      <c r="F550" s="5"/>
      <c r="G550" s="4"/>
      <c r="H550" s="4"/>
      <c r="I550" s="4"/>
      <c r="J550" s="4"/>
      <c r="K550" s="4"/>
      <c r="L550" s="4"/>
      <c r="AJ550" s="4"/>
      <c r="IU550"/>
      <c r="IV550"/>
    </row>
    <row r="551" spans="5:256" s="2" customFormat="1" ht="12.75">
      <c r="E551" s="5"/>
      <c r="F551" s="5"/>
      <c r="G551" s="4"/>
      <c r="H551" s="4"/>
      <c r="I551" s="4"/>
      <c r="J551" s="4"/>
      <c r="K551" s="4"/>
      <c r="L551" s="4"/>
      <c r="AJ551" s="4"/>
      <c r="IU551"/>
      <c r="IV551"/>
    </row>
    <row r="552" spans="5:256" s="2" customFormat="1" ht="12.75">
      <c r="E552" s="5"/>
      <c r="F552" s="5"/>
      <c r="G552" s="4"/>
      <c r="H552" s="4"/>
      <c r="I552" s="4"/>
      <c r="J552" s="4"/>
      <c r="K552" s="4"/>
      <c r="L552" s="4"/>
      <c r="AJ552" s="4"/>
      <c r="IU552"/>
      <c r="IV552"/>
    </row>
    <row r="553" spans="5:256" s="2" customFormat="1" ht="12.75">
      <c r="E553" s="5"/>
      <c r="F553" s="5"/>
      <c r="G553" s="4"/>
      <c r="H553" s="4"/>
      <c r="I553" s="4"/>
      <c r="J553" s="4"/>
      <c r="K553" s="4"/>
      <c r="L553" s="4"/>
      <c r="AJ553" s="4"/>
      <c r="IU553"/>
      <c r="IV553"/>
    </row>
    <row r="554" spans="5:256" s="2" customFormat="1" ht="12.75">
      <c r="E554" s="5"/>
      <c r="F554" s="5"/>
      <c r="G554" s="4"/>
      <c r="H554" s="4"/>
      <c r="I554" s="4"/>
      <c r="J554" s="4"/>
      <c r="K554" s="4"/>
      <c r="L554" s="4"/>
      <c r="AJ554" s="4"/>
      <c r="IU554"/>
      <c r="IV554"/>
    </row>
    <row r="555" spans="5:256" s="2" customFormat="1" ht="12.75">
      <c r="E555" s="5"/>
      <c r="F555" s="5"/>
      <c r="G555" s="4"/>
      <c r="H555" s="4"/>
      <c r="I555" s="4"/>
      <c r="J555" s="4"/>
      <c r="K555" s="4"/>
      <c r="L555" s="4"/>
      <c r="AJ555" s="4"/>
      <c r="IU555"/>
      <c r="IV555"/>
    </row>
    <row r="556" spans="5:256" s="2" customFormat="1" ht="12.75">
      <c r="E556" s="5"/>
      <c r="F556" s="5"/>
      <c r="G556" s="4"/>
      <c r="H556" s="4"/>
      <c r="I556" s="4"/>
      <c r="J556" s="4"/>
      <c r="K556" s="4"/>
      <c r="L556" s="4"/>
      <c r="AJ556" s="4"/>
      <c r="IU556"/>
      <c r="IV556"/>
    </row>
    <row r="557" spans="5:256" s="2" customFormat="1" ht="12.75">
      <c r="E557" s="5"/>
      <c r="F557" s="5"/>
      <c r="G557" s="4"/>
      <c r="H557" s="4"/>
      <c r="I557" s="4"/>
      <c r="J557" s="4"/>
      <c r="K557" s="4"/>
      <c r="L557" s="4"/>
      <c r="AJ557" s="4"/>
      <c r="IU557"/>
      <c r="IV557"/>
    </row>
    <row r="558" spans="5:256" s="2" customFormat="1" ht="12.75">
      <c r="E558" s="5"/>
      <c r="F558" s="5"/>
      <c r="G558" s="4"/>
      <c r="H558" s="4"/>
      <c r="I558" s="4"/>
      <c r="J558" s="4"/>
      <c r="K558" s="4"/>
      <c r="L558" s="4"/>
      <c r="AJ558" s="4"/>
      <c r="IU558"/>
      <c r="IV558"/>
    </row>
    <row r="559" spans="5:256" s="2" customFormat="1" ht="12.75">
      <c r="E559" s="5"/>
      <c r="F559" s="5"/>
      <c r="G559" s="4"/>
      <c r="H559" s="4"/>
      <c r="I559" s="4"/>
      <c r="J559" s="4"/>
      <c r="K559" s="4"/>
      <c r="L559" s="4"/>
      <c r="AJ559" s="4"/>
      <c r="IU559"/>
      <c r="IV559"/>
    </row>
    <row r="560" spans="5:256" s="2" customFormat="1" ht="12.75">
      <c r="E560" s="5"/>
      <c r="F560" s="5"/>
      <c r="G560" s="4"/>
      <c r="H560" s="4"/>
      <c r="I560" s="4"/>
      <c r="J560" s="4"/>
      <c r="K560" s="4"/>
      <c r="L560" s="4"/>
      <c r="AJ560" s="4"/>
      <c r="IU560"/>
      <c r="IV560"/>
    </row>
    <row r="561" spans="5:256" s="2" customFormat="1" ht="12.75">
      <c r="E561" s="5"/>
      <c r="F561" s="5"/>
      <c r="G561" s="4"/>
      <c r="H561" s="4"/>
      <c r="I561" s="4"/>
      <c r="J561" s="4"/>
      <c r="K561" s="4"/>
      <c r="L561" s="4"/>
      <c r="AJ561" s="4"/>
      <c r="IU561"/>
      <c r="IV561"/>
    </row>
    <row r="562" spans="5:256" s="2" customFormat="1" ht="12.75">
      <c r="E562" s="5"/>
      <c r="F562" s="5"/>
      <c r="G562" s="4"/>
      <c r="H562" s="4"/>
      <c r="I562" s="4"/>
      <c r="J562" s="4"/>
      <c r="K562" s="4"/>
      <c r="L562" s="4"/>
      <c r="AJ562" s="4"/>
      <c r="IU562"/>
      <c r="IV562"/>
    </row>
    <row r="563" spans="5:256" s="2" customFormat="1" ht="12.75">
      <c r="E563" s="5"/>
      <c r="F563" s="5"/>
      <c r="G563" s="4"/>
      <c r="H563" s="4"/>
      <c r="I563" s="4"/>
      <c r="J563" s="4"/>
      <c r="K563" s="4"/>
      <c r="L563" s="4"/>
      <c r="AJ563" s="4"/>
      <c r="IU563"/>
      <c r="IV563"/>
    </row>
    <row r="564" spans="5:256" s="2" customFormat="1" ht="12.75">
      <c r="E564" s="5"/>
      <c r="F564" s="5"/>
      <c r="G564" s="4"/>
      <c r="H564" s="4"/>
      <c r="I564" s="4"/>
      <c r="J564" s="4"/>
      <c r="K564" s="4"/>
      <c r="L564" s="4"/>
      <c r="AJ564" s="4"/>
      <c r="IU564"/>
      <c r="IV564"/>
    </row>
    <row r="565" spans="5:256" s="2" customFormat="1" ht="12.75">
      <c r="E565" s="5"/>
      <c r="F565" s="5"/>
      <c r="G565" s="4"/>
      <c r="H565" s="4"/>
      <c r="I565" s="4"/>
      <c r="J565" s="4"/>
      <c r="K565" s="4"/>
      <c r="L565" s="4"/>
      <c r="AJ565" s="4"/>
      <c r="IU565"/>
      <c r="IV565"/>
    </row>
    <row r="566" spans="5:256" s="2" customFormat="1" ht="12.75">
      <c r="E566" s="5"/>
      <c r="F566" s="5"/>
      <c r="G566" s="4"/>
      <c r="H566" s="4"/>
      <c r="I566" s="4"/>
      <c r="J566" s="4"/>
      <c r="K566" s="4"/>
      <c r="L566" s="4"/>
      <c r="AJ566" s="4"/>
      <c r="IU566"/>
      <c r="IV566"/>
    </row>
    <row r="567" spans="5:256" s="2" customFormat="1" ht="12.75">
      <c r="E567" s="5"/>
      <c r="F567" s="5"/>
      <c r="G567" s="4"/>
      <c r="H567" s="4"/>
      <c r="I567" s="4"/>
      <c r="J567" s="4"/>
      <c r="K567" s="4"/>
      <c r="L567" s="4"/>
      <c r="AJ567" s="4"/>
      <c r="IU567"/>
      <c r="IV567"/>
    </row>
    <row r="568" spans="5:256" s="2" customFormat="1" ht="12.75">
      <c r="E568" s="5"/>
      <c r="F568" s="5"/>
      <c r="G568" s="4"/>
      <c r="H568" s="4"/>
      <c r="I568" s="4"/>
      <c r="J568" s="4"/>
      <c r="K568" s="4"/>
      <c r="L568" s="4"/>
      <c r="AJ568" s="4"/>
      <c r="IU568"/>
      <c r="IV568"/>
    </row>
    <row r="569" spans="5:256" s="2" customFormat="1" ht="12.75">
      <c r="E569" s="5"/>
      <c r="F569" s="5"/>
      <c r="G569" s="4"/>
      <c r="H569" s="4"/>
      <c r="I569" s="4"/>
      <c r="J569" s="4"/>
      <c r="K569" s="4"/>
      <c r="L569" s="4"/>
      <c r="AJ569" s="4"/>
      <c r="IU569"/>
      <c r="IV569"/>
    </row>
    <row r="570" spans="5:256" s="2" customFormat="1" ht="12.75">
      <c r="E570" s="5"/>
      <c r="F570" s="5"/>
      <c r="G570" s="4"/>
      <c r="H570" s="4"/>
      <c r="I570" s="4"/>
      <c r="J570" s="4"/>
      <c r="K570" s="4"/>
      <c r="L570" s="4"/>
      <c r="AJ570" s="4"/>
      <c r="IU570"/>
      <c r="IV570"/>
    </row>
    <row r="571" spans="5:256" s="2" customFormat="1" ht="12.75">
      <c r="E571" s="5"/>
      <c r="F571" s="5"/>
      <c r="G571" s="4"/>
      <c r="H571" s="4"/>
      <c r="I571" s="4"/>
      <c r="J571" s="4"/>
      <c r="K571" s="4"/>
      <c r="L571" s="4"/>
      <c r="AJ571" s="4"/>
      <c r="IU571"/>
      <c r="IV571"/>
    </row>
    <row r="572" spans="5:256" s="2" customFormat="1" ht="12.75">
      <c r="E572" s="5"/>
      <c r="F572" s="5"/>
      <c r="G572" s="4"/>
      <c r="H572" s="4"/>
      <c r="I572" s="4"/>
      <c r="J572" s="4"/>
      <c r="K572" s="4"/>
      <c r="L572" s="4"/>
      <c r="AJ572" s="4"/>
      <c r="IU572"/>
      <c r="IV572"/>
    </row>
    <row r="573" spans="5:256" s="2" customFormat="1" ht="12.75">
      <c r="E573" s="5"/>
      <c r="F573" s="5"/>
      <c r="G573" s="4"/>
      <c r="H573" s="4"/>
      <c r="I573" s="4"/>
      <c r="J573" s="4"/>
      <c r="K573" s="4"/>
      <c r="L573" s="4"/>
      <c r="AJ573" s="4"/>
      <c r="IU573"/>
      <c r="IV573"/>
    </row>
    <row r="574" spans="5:256" s="2" customFormat="1" ht="12.75">
      <c r="E574" s="5"/>
      <c r="F574" s="5"/>
      <c r="G574" s="4"/>
      <c r="H574" s="4"/>
      <c r="I574" s="4"/>
      <c r="J574" s="4"/>
      <c r="K574" s="4"/>
      <c r="L574" s="4"/>
      <c r="AJ574" s="4"/>
      <c r="IU574"/>
      <c r="IV574"/>
    </row>
    <row r="575" spans="5:256" s="2" customFormat="1" ht="12.75">
      <c r="E575" s="5"/>
      <c r="F575" s="5"/>
      <c r="G575" s="4"/>
      <c r="H575" s="4"/>
      <c r="I575" s="4"/>
      <c r="J575" s="4"/>
      <c r="K575" s="4"/>
      <c r="L575" s="4"/>
      <c r="AJ575" s="4"/>
      <c r="IU575"/>
      <c r="IV575"/>
    </row>
    <row r="576" spans="5:256" s="2" customFormat="1" ht="12.75">
      <c r="E576" s="5"/>
      <c r="F576" s="5"/>
      <c r="G576" s="4"/>
      <c r="H576" s="4"/>
      <c r="I576" s="4"/>
      <c r="J576" s="4"/>
      <c r="K576" s="4"/>
      <c r="L576" s="4"/>
      <c r="AJ576" s="4"/>
      <c r="IU576"/>
      <c r="IV576"/>
    </row>
    <row r="577" spans="5:256" s="2" customFormat="1" ht="12.75">
      <c r="E577" s="5"/>
      <c r="F577" s="5"/>
      <c r="G577" s="4"/>
      <c r="H577" s="4"/>
      <c r="I577" s="4"/>
      <c r="J577" s="4"/>
      <c r="K577" s="4"/>
      <c r="L577" s="4"/>
      <c r="AJ577" s="4"/>
      <c r="IU577"/>
      <c r="IV577"/>
    </row>
    <row r="578" spans="5:256" s="2" customFormat="1" ht="12.75">
      <c r="E578" s="5"/>
      <c r="F578" s="5"/>
      <c r="G578" s="4"/>
      <c r="H578" s="4"/>
      <c r="I578" s="4"/>
      <c r="J578" s="4"/>
      <c r="K578" s="4"/>
      <c r="L578" s="4"/>
      <c r="AJ578" s="4"/>
      <c r="IU578"/>
      <c r="IV578"/>
    </row>
    <row r="579" spans="5:256" s="2" customFormat="1" ht="12.75">
      <c r="E579" s="5"/>
      <c r="F579" s="5"/>
      <c r="G579" s="4"/>
      <c r="H579" s="4"/>
      <c r="I579" s="4"/>
      <c r="J579" s="4"/>
      <c r="K579" s="4"/>
      <c r="L579" s="4"/>
      <c r="AJ579" s="4"/>
      <c r="IU579"/>
      <c r="IV579"/>
    </row>
    <row r="580" spans="5:256" s="2" customFormat="1" ht="12.75">
      <c r="E580" s="5"/>
      <c r="F580" s="5"/>
      <c r="G580" s="4"/>
      <c r="H580" s="4"/>
      <c r="I580" s="4"/>
      <c r="J580" s="4"/>
      <c r="K580" s="4"/>
      <c r="L580" s="4"/>
      <c r="AJ580" s="4"/>
      <c r="IU580"/>
      <c r="IV580"/>
    </row>
    <row r="581" spans="5:256" s="2" customFormat="1" ht="12.75">
      <c r="E581" s="5"/>
      <c r="F581" s="5"/>
      <c r="G581" s="4"/>
      <c r="H581" s="4"/>
      <c r="I581" s="4"/>
      <c r="J581" s="4"/>
      <c r="K581" s="4"/>
      <c r="L581" s="4"/>
      <c r="AJ581" s="4"/>
      <c r="IU581"/>
      <c r="IV581"/>
    </row>
    <row r="582" spans="5:256" s="2" customFormat="1" ht="12.75">
      <c r="E582" s="5"/>
      <c r="F582" s="5"/>
      <c r="G582" s="4"/>
      <c r="H582" s="4"/>
      <c r="I582" s="4"/>
      <c r="J582" s="4"/>
      <c r="K582" s="4"/>
      <c r="L582" s="4"/>
      <c r="AJ582" s="4"/>
      <c r="IU582"/>
      <c r="IV582"/>
    </row>
    <row r="583" spans="5:256" s="2" customFormat="1" ht="12.75">
      <c r="E583" s="5"/>
      <c r="F583" s="5"/>
      <c r="G583" s="4"/>
      <c r="H583" s="4"/>
      <c r="I583" s="4"/>
      <c r="J583" s="4"/>
      <c r="K583" s="4"/>
      <c r="L583" s="4"/>
      <c r="AJ583" s="4"/>
      <c r="IU583"/>
      <c r="IV583"/>
    </row>
    <row r="584" spans="5:256" s="2" customFormat="1" ht="12.75">
      <c r="E584" s="5"/>
      <c r="F584" s="5"/>
      <c r="G584" s="4"/>
      <c r="H584" s="4"/>
      <c r="I584" s="4"/>
      <c r="J584" s="4"/>
      <c r="K584" s="4"/>
      <c r="L584" s="4"/>
      <c r="AJ584" s="4"/>
      <c r="IU584"/>
      <c r="IV584"/>
    </row>
    <row r="585" spans="5:256" s="2" customFormat="1" ht="12.75">
      <c r="E585" s="5"/>
      <c r="F585" s="5"/>
      <c r="G585" s="4"/>
      <c r="H585" s="4"/>
      <c r="I585" s="4"/>
      <c r="J585" s="4"/>
      <c r="K585" s="4"/>
      <c r="L585" s="4"/>
      <c r="AJ585" s="4"/>
      <c r="IU585"/>
      <c r="IV585"/>
    </row>
    <row r="586" spans="5:256" s="2" customFormat="1" ht="12.75">
      <c r="E586" s="5"/>
      <c r="F586" s="5"/>
      <c r="G586" s="4"/>
      <c r="H586" s="4"/>
      <c r="I586" s="4"/>
      <c r="J586" s="4"/>
      <c r="K586" s="4"/>
      <c r="L586" s="4"/>
      <c r="AJ586" s="4"/>
      <c r="IU586"/>
      <c r="IV586"/>
    </row>
    <row r="587" spans="5:256" s="2" customFormat="1" ht="12.75">
      <c r="E587" s="5"/>
      <c r="F587" s="5"/>
      <c r="G587" s="4"/>
      <c r="H587" s="4"/>
      <c r="I587" s="4"/>
      <c r="J587" s="4"/>
      <c r="K587" s="4"/>
      <c r="L587" s="4"/>
      <c r="AJ587" s="4"/>
      <c r="IU587"/>
      <c r="IV587"/>
    </row>
    <row r="588" spans="5:256" s="2" customFormat="1" ht="12.75">
      <c r="E588" s="5"/>
      <c r="F588" s="5"/>
      <c r="G588" s="4"/>
      <c r="H588" s="4"/>
      <c r="I588" s="4"/>
      <c r="J588" s="4"/>
      <c r="K588" s="4"/>
      <c r="L588" s="4"/>
      <c r="AJ588" s="4"/>
      <c r="IU588"/>
      <c r="IV588"/>
    </row>
    <row r="589" spans="5:256" s="2" customFormat="1" ht="12.75">
      <c r="E589" s="5"/>
      <c r="F589" s="5"/>
      <c r="G589" s="4"/>
      <c r="H589" s="4"/>
      <c r="I589" s="4"/>
      <c r="J589" s="4"/>
      <c r="K589" s="4"/>
      <c r="L589" s="4"/>
      <c r="AJ589" s="4"/>
      <c r="IU589"/>
      <c r="IV589"/>
    </row>
    <row r="590" spans="5:256" s="2" customFormat="1" ht="12.75">
      <c r="E590" s="5"/>
      <c r="F590" s="5"/>
      <c r="G590" s="4"/>
      <c r="H590" s="4"/>
      <c r="I590" s="4"/>
      <c r="J590" s="4"/>
      <c r="K590" s="4"/>
      <c r="L590" s="4"/>
      <c r="AJ590" s="4"/>
      <c r="IU590"/>
      <c r="IV590"/>
    </row>
    <row r="591" spans="5:256" s="2" customFormat="1" ht="12.75">
      <c r="E591" s="5"/>
      <c r="F591" s="5"/>
      <c r="G591" s="4"/>
      <c r="H591" s="4"/>
      <c r="I591" s="4"/>
      <c r="J591" s="4"/>
      <c r="K591" s="4"/>
      <c r="L591" s="4"/>
      <c r="AJ591" s="4"/>
      <c r="IU591"/>
      <c r="IV591"/>
    </row>
    <row r="592" spans="5:256" s="2" customFormat="1" ht="12.75">
      <c r="E592" s="5"/>
      <c r="F592" s="5"/>
      <c r="G592" s="4"/>
      <c r="H592" s="4"/>
      <c r="I592" s="4"/>
      <c r="J592" s="4"/>
      <c r="K592" s="4"/>
      <c r="L592" s="4"/>
      <c r="AJ592" s="4"/>
      <c r="IU592"/>
      <c r="IV592"/>
    </row>
    <row r="593" spans="5:256" s="2" customFormat="1" ht="12.75">
      <c r="E593" s="5"/>
      <c r="F593" s="5"/>
      <c r="G593" s="4"/>
      <c r="H593" s="4"/>
      <c r="I593" s="4"/>
      <c r="J593" s="4"/>
      <c r="K593" s="4"/>
      <c r="L593" s="4"/>
      <c r="AJ593" s="4"/>
      <c r="IU593"/>
      <c r="IV593"/>
    </row>
  </sheetData>
  <sheetProtection sheet="1" objects="1" scenarios="1"/>
  <mergeCells count="3">
    <mergeCell ref="C1:P1"/>
    <mergeCell ref="T1:AF1"/>
    <mergeCell ref="B4:H4"/>
  </mergeCells>
  <dataValidations count="1">
    <dataValidation type="list" operator="equal" showDropDown="1" promptTitle="Sklave:" prompt="X = Ja&#10;' ' = Nein " sqref="R6">
      <formula1>"Sklave,frei, "</formula1>
    </dataValidation>
  </dataValidations>
  <printOptions horizontalCentered="1"/>
  <pageMargins left="0.39375" right="0.19652777777777777" top="0.6506944444444445" bottom="1.0444444444444445" header="0.31527777777777777" footer="0.39375"/>
  <pageSetup horizontalDpi="300" verticalDpi="300" orientation="portrait" paperSize="9" scale="84"/>
  <headerFooter alignWithMargins="0">
    <oddHeader>&amp;CCharakter-Lernliste V2.0 -  &amp;F</oddHeader>
    <oddFooter>&amp;CSeite &amp;P</oddFooter>
  </headerFooter>
  <rowBreaks count="3" manualBreakCount="3">
    <brk id="88" max="255" man="1"/>
    <brk id="172" max="255" man="1"/>
    <brk id="2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zoomScale="150" zoomScaleNormal="150" zoomScaleSheetLayoutView="100" workbookViewId="0" topLeftCell="A31">
      <selection activeCell="H43" activeCellId="1" sqref="J256:R282 H43"/>
    </sheetView>
  </sheetViews>
  <sheetFormatPr defaultColWidth="5.00390625" defaultRowHeight="12.75"/>
  <cols>
    <col min="1" max="1" width="17.375" style="0" customWidth="1"/>
    <col min="2" max="2" width="6.375" style="0" customWidth="1"/>
    <col min="3" max="3" width="8.25390625" style="0" customWidth="1"/>
    <col min="4" max="4" width="7.875" style="0" customWidth="1"/>
    <col min="5" max="16384" width="5.25390625" style="0" customWidth="1"/>
  </cols>
  <sheetData>
    <row r="1" spans="2:4" s="2" customFormat="1" ht="12.75">
      <c r="B1" s="5"/>
      <c r="C1" s="5"/>
      <c r="D1" s="4"/>
    </row>
    <row r="2" spans="2:4" s="2" customFormat="1" ht="12.75">
      <c r="B2" s="5"/>
      <c r="C2" s="5"/>
      <c r="D2" s="4"/>
    </row>
    <row r="3" spans="1:4" s="38" customFormat="1" ht="12.75">
      <c r="A3" s="671" t="s">
        <v>9</v>
      </c>
      <c r="B3" s="672" t="str">
        <f>'Kostentabelle _ Fähigkeitsstand'!B4</f>
        <v>Name bitte hier eintragen!</v>
      </c>
      <c r="C3" s="673"/>
      <c r="D3" s="541"/>
    </row>
    <row r="4" spans="1:4" s="678" customFormat="1" ht="12.75">
      <c r="A4" s="674" t="s">
        <v>795</v>
      </c>
      <c r="B4" s="675"/>
      <c r="C4" s="676"/>
      <c r="D4" s="677">
        <f>'Kostentabelle _ Fähigkeitsstand'!W3</f>
        <v>14</v>
      </c>
    </row>
    <row r="5" spans="1:4" s="38" customFormat="1" ht="12.75">
      <c r="A5" s="679"/>
      <c r="B5" s="680" t="s">
        <v>796</v>
      </c>
      <c r="C5" s="681" t="s">
        <v>797</v>
      </c>
      <c r="D5" s="682" t="s">
        <v>798</v>
      </c>
    </row>
    <row r="6" spans="1:4" s="267" customFormat="1" ht="12.75">
      <c r="A6" s="683" t="s">
        <v>272</v>
      </c>
      <c r="B6" s="684" t="s">
        <v>49</v>
      </c>
      <c r="C6" s="684" t="s">
        <v>799</v>
      </c>
      <c r="D6" s="685" t="s">
        <v>800</v>
      </c>
    </row>
    <row r="7" spans="1:4" s="267" customFormat="1" ht="9.75" customHeight="1">
      <c r="A7" s="582" t="s">
        <v>473</v>
      </c>
      <c r="B7" s="686">
        <f>'Kostentabelle _ Fähigkeitsstand'!W94</f>
        <v>0</v>
      </c>
      <c r="C7" s="686">
        <f>ROUND(MAX(B7,B26*0.5),0)</f>
        <v>0</v>
      </c>
      <c r="D7" s="687">
        <f>MAX($D$4,C7+C$27)</f>
        <v>14</v>
      </c>
    </row>
    <row r="8" spans="1:4" s="267" customFormat="1" ht="9.75" customHeight="1">
      <c r="A8" s="147" t="s">
        <v>801</v>
      </c>
      <c r="B8" s="687">
        <f>'Kostentabelle _ Fähigkeitsstand'!W95</f>
        <v>0</v>
      </c>
      <c r="C8" s="687">
        <f>ROUND(MAX(B8,B9*0.5,0.5*B12,0.4*B13,0.5*B20,0.4*B25),0)</f>
        <v>0</v>
      </c>
      <c r="D8" s="687">
        <f>MAX($D$4,C8+C24)</f>
        <v>14</v>
      </c>
    </row>
    <row r="9" spans="1:4" s="267" customFormat="1" ht="9.75" customHeight="1">
      <c r="A9" s="147" t="s">
        <v>285</v>
      </c>
      <c r="B9" s="687">
        <f>'Kostentabelle _ Fähigkeitsstand'!W96</f>
        <v>0</v>
      </c>
      <c r="C9" s="687">
        <f>ROUND(MAX(B9,B8*0.7,B26*0.6,0.7*B12,0.6*B13,0.7*B20,0.4*B25),0)</f>
        <v>0</v>
      </c>
      <c r="D9" s="687">
        <f>MAX($D$4,C9+C24)</f>
        <v>14</v>
      </c>
    </row>
    <row r="10" spans="1:4" s="267" customFormat="1" ht="9.75" customHeight="1">
      <c r="A10" s="147" t="s">
        <v>290</v>
      </c>
      <c r="B10" s="687">
        <f>'Kostentabelle _ Fähigkeitsstand'!W97</f>
        <v>0</v>
      </c>
      <c r="C10" s="687">
        <f>ROUND(MAX(B10,0.7*B11,0.4*B12,0.5*B13,0.5*B14,0.5*B15),0)</f>
        <v>0</v>
      </c>
      <c r="D10" s="687">
        <f>MAX($D$4,C10+C18)</f>
        <v>14</v>
      </c>
    </row>
    <row r="11" spans="1:4" s="267" customFormat="1" ht="9.75" customHeight="1">
      <c r="A11" s="147" t="s">
        <v>297</v>
      </c>
      <c r="B11" s="687">
        <f>'Kostentabelle _ Fähigkeitsstand'!W98</f>
        <v>0</v>
      </c>
      <c r="C11" s="687">
        <f>ROUND(MAX(B11,0.7*B10,0.4*B12,0.5*B13,0.6*B14,0.5*B15),0)</f>
        <v>0</v>
      </c>
      <c r="D11" s="687">
        <f>MAX($D$4,C11+C18)</f>
        <v>14</v>
      </c>
    </row>
    <row r="12" spans="1:4" s="267" customFormat="1" ht="9.75" customHeight="1">
      <c r="A12" s="147" t="s">
        <v>303</v>
      </c>
      <c r="B12" s="687">
        <f>'Kostentabelle _ Fähigkeitsstand'!W99</f>
        <v>0</v>
      </c>
      <c r="C12" s="687">
        <f>ROUND(MAX(B12,0.5*B8,0.4*B9,0.4*B10,0.4*B11,0.7*B13,0.4*B14,0.4*B20),0)</f>
        <v>0</v>
      </c>
      <c r="D12" s="687">
        <f>MAX($D$4,C12+C17)</f>
        <v>14</v>
      </c>
    </row>
    <row r="13" spans="1:4" s="267" customFormat="1" ht="9.75" customHeight="1">
      <c r="A13" s="147" t="s">
        <v>308</v>
      </c>
      <c r="B13" s="687">
        <f>'Kostentabelle _ Fähigkeitsstand'!W100</f>
        <v>0</v>
      </c>
      <c r="C13" s="687">
        <f>ROUND(MAX(B13,0.4*B8,0.3*B9,0.5*B10,0.5*B11,0.7*B12,0.5*B14),0)</f>
        <v>0</v>
      </c>
      <c r="D13" s="687">
        <f>MAX($D$4,C13+C19)</f>
        <v>14</v>
      </c>
    </row>
    <row r="14" spans="1:4" s="267" customFormat="1" ht="9.75" customHeight="1">
      <c r="A14" s="147" t="s">
        <v>314</v>
      </c>
      <c r="B14" s="687">
        <f>'Kostentabelle _ Fähigkeitsstand'!W101</f>
        <v>0</v>
      </c>
      <c r="C14" s="687">
        <f>ROUND(MAX(B14,0.6*B10,0.7*B11,0.4*B12,0.5*B13,0.4*B15),0)</f>
        <v>0</v>
      </c>
      <c r="D14" s="687">
        <f>MAX($D$4,C14+C23)</f>
        <v>14</v>
      </c>
    </row>
    <row r="15" spans="1:4" s="267" customFormat="1" ht="9.75" customHeight="1">
      <c r="A15" s="147" t="s">
        <v>317</v>
      </c>
      <c r="B15" s="687">
        <f>'Kostentabelle _ Fähigkeitsstand'!W102</f>
        <v>0</v>
      </c>
      <c r="C15" s="687">
        <f>ROUND(MAX(B15,0.5*B10,0.5*B11,0.5*B14),0)</f>
        <v>0</v>
      </c>
      <c r="D15" s="687">
        <f>MAX($D$4,C15+C18)</f>
        <v>14</v>
      </c>
    </row>
    <row r="16" spans="1:4" s="267" customFormat="1" ht="9.75" customHeight="1">
      <c r="A16" s="147" t="s">
        <v>476</v>
      </c>
      <c r="B16" s="687">
        <f>'Kostentabelle _ Fähigkeitsstand'!W103</f>
        <v>25</v>
      </c>
      <c r="C16" s="687">
        <f>ROUND(MAX(B16,0),0)</f>
        <v>25</v>
      </c>
      <c r="D16" s="687">
        <f>MAX($D$4,C16+C$27)</f>
        <v>25</v>
      </c>
    </row>
    <row r="17" spans="1:4" s="267" customFormat="1" ht="9.75" customHeight="1">
      <c r="A17" s="147" t="s">
        <v>325</v>
      </c>
      <c r="B17" s="687">
        <f>'Kostentabelle _ Fähigkeitsstand'!W104</f>
        <v>0</v>
      </c>
      <c r="C17" s="687">
        <f>ROUND(MAX(B17,0.4*B18,0.7*B19,0.4*B21,0.4*B23,0.6*B24),0)</f>
        <v>0</v>
      </c>
      <c r="D17" s="688"/>
    </row>
    <row r="18" spans="1:4" s="267" customFormat="1" ht="9.75" customHeight="1">
      <c r="A18" s="147" t="s">
        <v>329</v>
      </c>
      <c r="B18" s="687">
        <f>'Kostentabelle _ Fähigkeitsstand'!W105</f>
        <v>0</v>
      </c>
      <c r="C18" s="687">
        <f>ROUND(MAX(B18,0.4*B17,0.5*B19,0.6*B23),0)</f>
        <v>0</v>
      </c>
      <c r="D18" s="688"/>
    </row>
    <row r="19" spans="1:4" s="267" customFormat="1" ht="9.75" customHeight="1">
      <c r="A19" s="147" t="s">
        <v>333</v>
      </c>
      <c r="B19" s="687">
        <f>'Kostentabelle _ Fähigkeitsstand'!W106</f>
        <v>0</v>
      </c>
      <c r="C19" s="687">
        <f>ROUND(MAX(B19,0.7*B17,0.5*B18,0.4*B21,0.4*B23,0.5*B24),0)</f>
        <v>0</v>
      </c>
      <c r="D19" s="688"/>
    </row>
    <row r="20" spans="1:4" s="267" customFormat="1" ht="9.75" customHeight="1">
      <c r="A20" s="147" t="s">
        <v>337</v>
      </c>
      <c r="B20" s="687">
        <f>'Kostentabelle _ Fähigkeitsstand'!W107</f>
        <v>0</v>
      </c>
      <c r="C20" s="687">
        <f>ROUND(MAX(B20,0.5*B8,0.5*B9,0.4*B12,0.7*B25),0)</f>
        <v>0</v>
      </c>
      <c r="D20" s="687">
        <f>MAX($D$4,C20+C21)</f>
        <v>14</v>
      </c>
    </row>
    <row r="21" spans="1:4" s="267" customFormat="1" ht="9.75" customHeight="1">
      <c r="A21" s="147" t="s">
        <v>341</v>
      </c>
      <c r="B21" s="687">
        <f>'Kostentabelle _ Fähigkeitsstand'!W108</f>
        <v>0</v>
      </c>
      <c r="C21" s="687">
        <f>ROUND(MAX(B21,0.5*B17,0.4*B19,0.4*B24),0)</f>
        <v>0</v>
      </c>
      <c r="D21" s="688"/>
    </row>
    <row r="22" spans="1:4" s="267" customFormat="1" ht="9.75" customHeight="1">
      <c r="A22" s="147" t="s">
        <v>343</v>
      </c>
      <c r="B22" s="687">
        <f>'Kostentabelle _ Fähigkeitsstand'!W109</f>
        <v>0</v>
      </c>
      <c r="C22" s="687">
        <f>ROUND(MAX(B22,0.4*B28,0.4*B29,0.6*B30,0.4*B31,0.5*B32,0.4*B33),0)</f>
        <v>0</v>
      </c>
      <c r="D22" s="687">
        <f>MAX($D$4,C22+C21)</f>
        <v>14</v>
      </c>
    </row>
    <row r="23" spans="1:4" s="267" customFormat="1" ht="9.75" customHeight="1">
      <c r="A23" s="147" t="s">
        <v>344</v>
      </c>
      <c r="B23" s="687">
        <f>'Kostentabelle _ Fähigkeitsstand'!W110</f>
        <v>0</v>
      </c>
      <c r="C23" s="687">
        <f>ROUND(MAX(B23,0.4*B17,0.5*B18,0.4*B19),0)</f>
        <v>0</v>
      </c>
      <c r="D23" s="688"/>
    </row>
    <row r="24" spans="1:4" s="267" customFormat="1" ht="9.75" customHeight="1">
      <c r="A24" s="147" t="s">
        <v>346</v>
      </c>
      <c r="B24" s="687">
        <f>'Kostentabelle _ Fähigkeitsstand'!W111</f>
        <v>0</v>
      </c>
      <c r="C24" s="687">
        <f>ROUND(MAX(B24,0.6*B17,0.6*B19,0.5*B21),0)</f>
        <v>0</v>
      </c>
      <c r="D24" s="688"/>
    </row>
    <row r="25" spans="1:4" s="267" customFormat="1" ht="9.75" customHeight="1">
      <c r="A25" s="147" t="s">
        <v>348</v>
      </c>
      <c r="B25" s="687">
        <f>'Kostentabelle _ Fähigkeitsstand'!W112</f>
        <v>0</v>
      </c>
      <c r="C25" s="687">
        <f>ROUND(MAX(B25,0.4*B8,0.4*B9,0.6*B20),0)</f>
        <v>0</v>
      </c>
      <c r="D25" s="687">
        <f>MAX($D$4,C25+C21)</f>
        <v>14</v>
      </c>
    </row>
    <row r="26" spans="1:4" s="267" customFormat="1" ht="9.75" customHeight="1">
      <c r="A26" s="147" t="s">
        <v>478</v>
      </c>
      <c r="B26" s="687">
        <f>'Kostentabelle _ Fähigkeitsstand'!W113</f>
        <v>0</v>
      </c>
      <c r="C26" s="687">
        <f>ROUND(MAX(B26,0.5*B7,0.5*B9),0)</f>
        <v>0</v>
      </c>
      <c r="D26" s="687">
        <f>MAX($D$4,C26+C$27)</f>
        <v>14</v>
      </c>
    </row>
    <row r="27" spans="1:4" s="267" customFormat="1" ht="9.75" customHeight="1">
      <c r="A27" s="147" t="s">
        <v>802</v>
      </c>
      <c r="B27" s="687">
        <f>'Kostentabelle _ Fähigkeitsstand'!W114</f>
        <v>0</v>
      </c>
      <c r="C27" s="687">
        <f>ROUND(MAX(B27,0.4*B28,0.7*B29,0.4*B31,0.4*B33,0.6*B34),0)</f>
        <v>0</v>
      </c>
      <c r="D27" s="688"/>
    </row>
    <row r="28" spans="1:4" s="267" customFormat="1" ht="9.75" customHeight="1">
      <c r="A28" s="147" t="s">
        <v>803</v>
      </c>
      <c r="B28" s="687">
        <f>'Kostentabelle _ Fähigkeitsstand'!W115</f>
        <v>0</v>
      </c>
      <c r="C28" s="687">
        <f>ROUND(MAX(B28,0.4*B22,0.6*B29,0.5*B31,0.4*B32,0.5*B33),0)</f>
        <v>0</v>
      </c>
      <c r="D28" s="687">
        <f>MAX($D$4,C28+C18)</f>
        <v>14</v>
      </c>
    </row>
    <row r="29" spans="1:4" s="267" customFormat="1" ht="9.75" customHeight="1">
      <c r="A29" s="147" t="s">
        <v>362</v>
      </c>
      <c r="B29" s="687">
        <f>'Kostentabelle _ Fähigkeitsstand'!W116</f>
        <v>0</v>
      </c>
      <c r="C29" s="687">
        <f>ROUND(MAX(B29,4*B22,0.7*B28,0.4*B30,0.6*B31,0.4*B32,0.5*B33),0)</f>
        <v>0</v>
      </c>
      <c r="D29" s="687">
        <f>MAX($D$4,C29+C18)</f>
        <v>14</v>
      </c>
    </row>
    <row r="30" spans="1:4" s="267" customFormat="1" ht="9.75" customHeight="1">
      <c r="A30" s="147" t="s">
        <v>363</v>
      </c>
      <c r="B30" s="687">
        <f>'Kostentabelle _ Fähigkeitsstand'!W117</f>
        <v>0</v>
      </c>
      <c r="C30" s="687">
        <f>ROUND(MAX(B30,0.6*B22,0.5*B31,0.5*B32,0.4*B33),0)</f>
        <v>0</v>
      </c>
      <c r="D30" s="687">
        <f>MAX($D$4,C30+C47)</f>
        <v>14</v>
      </c>
    </row>
    <row r="31" spans="1:4" s="267" customFormat="1" ht="9.75" customHeight="1">
      <c r="A31" s="147" t="s">
        <v>364</v>
      </c>
      <c r="B31" s="687">
        <f>'Kostentabelle _ Fähigkeitsstand'!W118</f>
        <v>0</v>
      </c>
      <c r="C31" s="687">
        <f>ROUND(MAX(B31,0.4*B22,0.6*B28,0.6*B29,0.5*B30,0.4*B32,0.4*B33),0)</f>
        <v>0</v>
      </c>
      <c r="D31" s="687">
        <f>MAX($D$4,C31+C23)</f>
        <v>14</v>
      </c>
    </row>
    <row r="32" spans="1:4" s="267" customFormat="1" ht="9.75" customHeight="1">
      <c r="A32" s="147" t="s">
        <v>366</v>
      </c>
      <c r="B32" s="687">
        <f>'Kostentabelle _ Fähigkeitsstand'!W119</f>
        <v>0</v>
      </c>
      <c r="C32" s="687">
        <f>ROUND(MAX(B32,0.5*B22,0.4*B28,0.5*B30,0.4*B31,0.7*B33),0)</f>
        <v>0</v>
      </c>
      <c r="D32" s="687">
        <f>MAX($D$4,C32+C17)</f>
        <v>14</v>
      </c>
    </row>
    <row r="33" spans="1:4" s="267" customFormat="1" ht="9.75" customHeight="1">
      <c r="A33" s="147" t="s">
        <v>370</v>
      </c>
      <c r="B33" s="687">
        <f>'Kostentabelle _ Fähigkeitsstand'!W120</f>
        <v>0</v>
      </c>
      <c r="C33" s="687">
        <f>ROUND(MAX(B33,0.4*B22,0.4*B28,0.4*B29,0.5*B30,0.4*B31,0.7*B32),0)</f>
        <v>0</v>
      </c>
      <c r="D33" s="687">
        <f>MAX($D$4,C33+C19)</f>
        <v>14</v>
      </c>
    </row>
    <row r="34" spans="1:4" s="267" customFormat="1" ht="9.75" customHeight="1">
      <c r="A34" s="689" t="s">
        <v>376</v>
      </c>
      <c r="B34" s="314"/>
      <c r="C34" s="212"/>
      <c r="D34" s="690"/>
    </row>
    <row r="35" spans="1:4" s="267" customFormat="1" ht="9.75" customHeight="1">
      <c r="A35" s="147" t="s">
        <v>380</v>
      </c>
      <c r="B35" s="687">
        <f>'Kostentabelle _ Fähigkeitsstand'!W122</f>
        <v>0</v>
      </c>
      <c r="C35" s="687">
        <f>ROUND(MAX(B35,0.5*B36,0.2*B38,0.2*B39,0.3*B40),0)</f>
        <v>0</v>
      </c>
      <c r="D35" s="687">
        <f>MAX($D$4,C35+C$37)</f>
        <v>18</v>
      </c>
    </row>
    <row r="36" spans="1:4" s="267" customFormat="1" ht="9.75" customHeight="1">
      <c r="A36" s="147" t="s">
        <v>382</v>
      </c>
      <c r="B36" s="687">
        <f>'Kostentabelle _ Fähigkeitsstand'!W123</f>
        <v>0</v>
      </c>
      <c r="C36" s="687">
        <f>ROUND(MAX(B36,0.5*B35,0.3*B38,0.3*B39,0.4*B40),0)</f>
        <v>0</v>
      </c>
      <c r="D36" s="687">
        <f>MAX($D$4,C36+C$37)</f>
        <v>18</v>
      </c>
    </row>
    <row r="37" spans="1:4" s="267" customFormat="1" ht="9.75" customHeight="1">
      <c r="A37" s="147" t="s">
        <v>385</v>
      </c>
      <c r="B37" s="687">
        <f>'Kostentabelle _ Fähigkeitsstand'!W124</f>
        <v>18</v>
      </c>
      <c r="C37" s="687">
        <f>ROUND(MAX(B37,0),0)</f>
        <v>18</v>
      </c>
      <c r="D37" s="688"/>
    </row>
    <row r="38" spans="1:4" s="267" customFormat="1" ht="9.75" customHeight="1">
      <c r="A38" s="147" t="s">
        <v>387</v>
      </c>
      <c r="B38" s="687">
        <f>'Kostentabelle _ Fähigkeitsstand'!W125</f>
        <v>0</v>
      </c>
      <c r="C38" s="687">
        <f>ROUND(MAX(B38,0.2*B36,0.6*B39,0.5*B40),0)</f>
        <v>0</v>
      </c>
      <c r="D38" s="687">
        <f>MAX($D$4,C38+C$37)</f>
        <v>18</v>
      </c>
    </row>
    <row r="39" spans="1:4" s="267" customFormat="1" ht="9.75" customHeight="1">
      <c r="A39" s="147" t="s">
        <v>389</v>
      </c>
      <c r="B39" s="687">
        <f>'Kostentabelle _ Fähigkeitsstand'!W126</f>
        <v>0</v>
      </c>
      <c r="C39" s="687">
        <f>ROUND(MAX(B39,0.3*B36,0.7*B38,0.6*B40),0)</f>
        <v>0</v>
      </c>
      <c r="D39" s="687">
        <f>MAX($D$4,C39+C$37)</f>
        <v>18</v>
      </c>
    </row>
    <row r="40" spans="1:4" s="267" customFormat="1" ht="9.75" customHeight="1">
      <c r="A40" s="147" t="s">
        <v>391</v>
      </c>
      <c r="B40" s="687">
        <f>'Kostentabelle _ Fähigkeitsstand'!W127</f>
        <v>0</v>
      </c>
      <c r="C40" s="687">
        <f>ROUND(MAX(B40,0.2*B35,0.4*B36,0.4*B38,0.5*B39),0)</f>
        <v>0</v>
      </c>
      <c r="D40" s="687">
        <f>MAX($D$4,C40+C$37)</f>
        <v>18</v>
      </c>
    </row>
    <row r="41" spans="1:4" s="267" customFormat="1" ht="9.75" customHeight="1">
      <c r="A41" s="147" t="s">
        <v>393</v>
      </c>
      <c r="B41" s="687">
        <f>'Kostentabelle _ Fähigkeitsstand'!W128</f>
        <v>0</v>
      </c>
      <c r="C41" s="687">
        <f>ROUND(MAX(B41,0),0)</f>
        <v>0</v>
      </c>
      <c r="D41" s="687">
        <f>MAX($D$4,C41+C$37)</f>
        <v>18</v>
      </c>
    </row>
    <row r="42" spans="1:4" s="267" customFormat="1" ht="9.75" customHeight="1">
      <c r="A42" s="689" t="s">
        <v>394</v>
      </c>
      <c r="B42" s="314"/>
      <c r="C42" s="212"/>
      <c r="D42" s="690"/>
    </row>
    <row r="43" spans="1:4" s="267" customFormat="1" ht="9.75" customHeight="1">
      <c r="A43" s="147" t="s">
        <v>397</v>
      </c>
      <c r="B43" s="687">
        <f>'Kostentabelle _ Fähigkeitsstand'!W130</f>
        <v>0</v>
      </c>
      <c r="C43" s="687">
        <f>ROUND(MAX(B43,0.7*B47),0)</f>
        <v>0</v>
      </c>
      <c r="D43" s="688"/>
    </row>
    <row r="44" spans="1:4" s="267" customFormat="1" ht="9.75" customHeight="1">
      <c r="A44" s="147" t="s">
        <v>398</v>
      </c>
      <c r="B44" s="687">
        <f>'Kostentabelle _ Fähigkeitsstand'!W131</f>
        <v>0</v>
      </c>
      <c r="C44" s="687">
        <f>ROUND(MAX(B44,0.7*C48),0)</f>
        <v>0</v>
      </c>
      <c r="D44" s="687">
        <f>MAX($D$4,C44+C43)</f>
        <v>14</v>
      </c>
    </row>
    <row r="45" spans="1:4" s="267" customFormat="1" ht="9.75" customHeight="1">
      <c r="A45" s="167" t="s">
        <v>403</v>
      </c>
      <c r="B45" s="687">
        <f>'Kostentabelle _ Fähigkeitsstand'!W133</f>
        <v>0</v>
      </c>
      <c r="C45" s="687">
        <f>B45</f>
        <v>0</v>
      </c>
      <c r="D45" s="688"/>
    </row>
    <row r="46" spans="1:4" s="267" customFormat="1" ht="9.75" customHeight="1">
      <c r="A46" s="167" t="s">
        <v>400</v>
      </c>
      <c r="B46" s="687">
        <f>'Kostentabelle _ Fähigkeitsstand'!W132</f>
        <v>0</v>
      </c>
      <c r="C46" s="687">
        <f>B46</f>
        <v>0</v>
      </c>
      <c r="D46" s="687">
        <f>MAX($D$4,C46+C45)</f>
        <v>14</v>
      </c>
    </row>
    <row r="47" spans="1:4" s="267" customFormat="1" ht="9.75" customHeight="1">
      <c r="A47" s="147" t="s">
        <v>404</v>
      </c>
      <c r="B47" s="687">
        <f>'Kostentabelle _ Fähigkeitsstand'!W134</f>
        <v>0</v>
      </c>
      <c r="C47" s="687">
        <f>ROUND(MAX(B47,0.5*B43),0)</f>
        <v>0</v>
      </c>
      <c r="D47" s="688"/>
    </row>
    <row r="48" spans="1:4" s="267" customFormat="1" ht="9.75" customHeight="1">
      <c r="A48" s="147" t="s">
        <v>406</v>
      </c>
      <c r="B48" s="687">
        <f>'Kostentabelle _ Fähigkeitsstand'!W135</f>
        <v>0</v>
      </c>
      <c r="C48" s="687">
        <f>ROUND(MAX(B48,0.5*B44),0)</f>
        <v>0</v>
      </c>
      <c r="D48" s="687">
        <f>MAX($D$4,C48+C47)</f>
        <v>14</v>
      </c>
    </row>
    <row r="49" spans="1:4" s="267" customFormat="1" ht="9.75" customHeight="1">
      <c r="A49" s="147" t="s">
        <v>410</v>
      </c>
      <c r="B49" s="687">
        <f>'Kostentabelle _ Fähigkeitsstand'!W136</f>
        <v>0</v>
      </c>
      <c r="C49" s="687">
        <f>B49</f>
        <v>0</v>
      </c>
      <c r="D49" s="687">
        <f>MAX($D$4,C49+C48)</f>
        <v>14</v>
      </c>
    </row>
    <row r="50" spans="1:4" s="267" customFormat="1" ht="9.75" customHeight="1">
      <c r="A50" s="689" t="s">
        <v>411</v>
      </c>
      <c r="B50" s="314"/>
      <c r="C50" s="212"/>
      <c r="D50" s="690"/>
    </row>
    <row r="51" spans="1:4" s="267" customFormat="1" ht="9.75" customHeight="1">
      <c r="A51" s="147" t="s">
        <v>413</v>
      </c>
      <c r="B51" s="687">
        <f>'Kostentabelle _ Fähigkeitsstand'!W138</f>
        <v>0</v>
      </c>
      <c r="C51" s="687">
        <f>ROUND(MAX(B51,0.5*B53,0.2*B55),0)</f>
        <v>0</v>
      </c>
      <c r="D51" s="687">
        <f>C51+C54</f>
        <v>0</v>
      </c>
    </row>
    <row r="52" spans="1:4" s="267" customFormat="1" ht="9.75" customHeight="1">
      <c r="A52" s="147" t="s">
        <v>804</v>
      </c>
      <c r="B52" s="688"/>
      <c r="C52" s="688"/>
      <c r="D52" s="687">
        <f>B51+D4</f>
        <v>14</v>
      </c>
    </row>
    <row r="53" spans="1:11" s="267" customFormat="1" ht="9.75" customHeight="1">
      <c r="A53" s="147" t="s">
        <v>415</v>
      </c>
      <c r="B53" s="687">
        <f>'Kostentabelle _ Fähigkeitsstand'!W139</f>
        <v>0</v>
      </c>
      <c r="C53" s="687">
        <f>ROUND(MAX(B53,0.5*B51,0.5*B55),0)</f>
        <v>0</v>
      </c>
      <c r="D53" s="687">
        <f>C53+C54</f>
        <v>0</v>
      </c>
      <c r="G53" s="2"/>
      <c r="H53" s="2"/>
      <c r="I53" s="2"/>
      <c r="J53" s="2"/>
      <c r="K53" s="2"/>
    </row>
    <row r="54" spans="1:11" s="267" customFormat="1" ht="9.75" customHeight="1">
      <c r="A54" s="147" t="s">
        <v>417</v>
      </c>
      <c r="B54" s="687">
        <f>'Kostentabelle _ Fähigkeitsstand'!W140</f>
        <v>0</v>
      </c>
      <c r="C54" s="687">
        <f>ROUND(MAX(B54,0),0)</f>
        <v>0</v>
      </c>
      <c r="D54" s="688"/>
      <c r="G54" s="2"/>
      <c r="H54" s="2"/>
      <c r="I54" s="2"/>
      <c r="J54" s="2"/>
      <c r="K54" s="2"/>
    </row>
    <row r="55" spans="1:11" s="267" customFormat="1" ht="9.75" customHeight="1">
      <c r="A55" s="172" t="s">
        <v>419</v>
      </c>
      <c r="B55" s="691">
        <f>'Kostentabelle _ Fähigkeitsstand'!W141</f>
        <v>0</v>
      </c>
      <c r="C55" s="691">
        <f>ROUND(MAX(B55,0.2*B51,0.5*B53),0)</f>
        <v>0</v>
      </c>
      <c r="D55" s="691">
        <f>C55+C54</f>
        <v>0</v>
      </c>
      <c r="G55" s="2"/>
      <c r="H55" s="2"/>
      <c r="I55" s="2"/>
      <c r="J55" s="2"/>
      <c r="K55" s="2"/>
    </row>
    <row r="56" spans="1:4" s="2" customFormat="1" ht="9.75" customHeight="1">
      <c r="A56" s="689" t="s">
        <v>453</v>
      </c>
      <c r="B56" s="692"/>
      <c r="C56" s="692"/>
      <c r="D56" s="693"/>
    </row>
    <row r="57" spans="1:4" s="2" customFormat="1" ht="9.75" customHeight="1">
      <c r="A57" s="167" t="s">
        <v>325</v>
      </c>
      <c r="B57" s="686">
        <f>'Kostentabelle _ Fähigkeitsstand'!AD111</f>
        <v>0</v>
      </c>
      <c r="C57" s="686">
        <f>ROUND(MAX(1*B$57,0.4*B$58,0.7*B$59,0.4*B$60,0.4*B$61,0.6*B$62),0)</f>
        <v>0</v>
      </c>
      <c r="D57" s="694"/>
    </row>
    <row r="58" spans="1:4" s="2" customFormat="1" ht="9.75" customHeight="1">
      <c r="A58" s="167" t="s">
        <v>329</v>
      </c>
      <c r="B58" s="687">
        <f>'Kostentabelle _ Fähigkeitsstand'!AD112</f>
        <v>0</v>
      </c>
      <c r="C58" s="686">
        <f>ROUND(MAX(0.4*B$57,1*B$58,0.5*B$59,0*B$60,0.6*B$61,0*B$62),0)</f>
        <v>0</v>
      </c>
      <c r="D58" s="688"/>
    </row>
    <row r="59" spans="1:4" s="2" customFormat="1" ht="9.75" customHeight="1">
      <c r="A59" s="167" t="s">
        <v>333</v>
      </c>
      <c r="B59" s="687">
        <f>'Kostentabelle _ Fähigkeitsstand'!AD113</f>
        <v>0</v>
      </c>
      <c r="C59" s="686">
        <f>ROUND(MAX(0.7*B$57,0.5*B$58,1*B$59,0.4*B$60,0.4*B$61,0.5*B$62),0)</f>
        <v>0</v>
      </c>
      <c r="D59" s="688"/>
    </row>
    <row r="60" spans="1:4" s="2" customFormat="1" ht="9.75" customHeight="1">
      <c r="A60" s="167" t="s">
        <v>341</v>
      </c>
      <c r="B60" s="687">
        <f>'Kostentabelle _ Fähigkeitsstand'!AD114</f>
        <v>0</v>
      </c>
      <c r="C60" s="686">
        <f>ROUND(MAX(0.5*B$57,0*B$58,0.4*B$59,1*B$60,0*B$61,0.4*B$62),0)</f>
        <v>0</v>
      </c>
      <c r="D60" s="688"/>
    </row>
    <row r="61" spans="1:4" s="2" customFormat="1" ht="9.75" customHeight="1">
      <c r="A61" s="167" t="s">
        <v>344</v>
      </c>
      <c r="B61" s="687">
        <f>'Kostentabelle _ Fähigkeitsstand'!AD115</f>
        <v>0</v>
      </c>
      <c r="C61" s="686">
        <f>ROUND(MAX(0.4*B$57,0.5*B$58,0.4*B$59,0*B$60,1*B$61,0*B$62),0)</f>
        <v>0</v>
      </c>
      <c r="D61" s="688"/>
    </row>
    <row r="62" spans="1:4" s="2" customFormat="1" ht="9.75" customHeight="1">
      <c r="A62" s="167" t="s">
        <v>346</v>
      </c>
      <c r="B62" s="687">
        <f>'Kostentabelle _ Fähigkeitsstand'!AD116</f>
        <v>0</v>
      </c>
      <c r="C62" s="686">
        <f>ROUND(MAX(0.6*B$57,0*B$58,0.6*B$59,0.5*B$60,0*B$61,1*B$62),0)</f>
        <v>0</v>
      </c>
      <c r="D62" s="688"/>
    </row>
    <row r="63" spans="1:4" s="2" customFormat="1" ht="9.75" customHeight="1">
      <c r="A63" s="695" t="s">
        <v>357</v>
      </c>
      <c r="B63" s="696">
        <f>'Kostentabelle _ Fähigkeitsstand'!AD117</f>
        <v>0</v>
      </c>
      <c r="C63" s="697">
        <f>ROUND(MAX(0.6*B$57,0*B$58,0.6*B$59,0.5*B$60,0*B$61,1*B$62),0)</f>
        <v>0</v>
      </c>
      <c r="D63" s="698"/>
    </row>
    <row r="64" spans="2:4" s="2" customFormat="1" ht="12.75">
      <c r="B64" s="5"/>
      <c r="C64" s="5"/>
      <c r="D64" s="4"/>
    </row>
    <row r="65" spans="2:4" s="2" customFormat="1" ht="12.75">
      <c r="B65" s="5"/>
      <c r="C65" s="5"/>
      <c r="D65" s="4"/>
    </row>
    <row r="66" spans="2:4" s="2" customFormat="1" ht="12.75">
      <c r="B66" s="5"/>
      <c r="C66" s="5"/>
      <c r="D66" s="4"/>
    </row>
    <row r="67" spans="2:4" s="2" customFormat="1" ht="12.75">
      <c r="B67" s="5"/>
      <c r="C67" s="5"/>
      <c r="D67" s="4"/>
    </row>
    <row r="68" spans="2:4" s="2" customFormat="1" ht="12.75">
      <c r="B68" s="5"/>
      <c r="C68" s="5"/>
      <c r="D68" s="4"/>
    </row>
    <row r="69" spans="2:4" s="2" customFormat="1" ht="12.75">
      <c r="B69" s="5"/>
      <c r="C69" s="5"/>
      <c r="D69" s="4"/>
    </row>
    <row r="70" spans="2:4" s="2" customFormat="1" ht="12.75">
      <c r="B70" s="5"/>
      <c r="C70" s="5"/>
      <c r="D70" s="4"/>
    </row>
    <row r="71" spans="2:4" s="2" customFormat="1" ht="12.75">
      <c r="B71" s="5"/>
      <c r="C71" s="5"/>
      <c r="D71" s="4"/>
    </row>
    <row r="72" spans="2:4" s="2" customFormat="1" ht="12.75">
      <c r="B72" s="5"/>
      <c r="C72" s="5"/>
      <c r="D72" s="4"/>
    </row>
    <row r="73" spans="2:4" s="2" customFormat="1" ht="12.75">
      <c r="B73" s="5"/>
      <c r="C73" s="5"/>
      <c r="D73" s="4"/>
    </row>
    <row r="74" spans="2:4" s="2" customFormat="1" ht="12.75">
      <c r="B74" s="5"/>
      <c r="C74" s="5"/>
      <c r="D74" s="4"/>
    </row>
    <row r="75" spans="2:4" s="2" customFormat="1" ht="12.75">
      <c r="B75" s="5"/>
      <c r="C75" s="5"/>
      <c r="D75" s="4"/>
    </row>
    <row r="76" spans="2:4" s="2" customFormat="1" ht="12.75">
      <c r="B76" s="5"/>
      <c r="C76" s="5"/>
      <c r="D76" s="4"/>
    </row>
    <row r="77" spans="2:4" s="2" customFormat="1" ht="12.75">
      <c r="B77" s="5"/>
      <c r="C77" s="5"/>
      <c r="D77" s="4"/>
    </row>
    <row r="78" spans="2:4" s="2" customFormat="1" ht="12.75">
      <c r="B78" s="5"/>
      <c r="C78" s="5"/>
      <c r="D78" s="4"/>
    </row>
    <row r="79" spans="2:4" s="2" customFormat="1" ht="12.75">
      <c r="B79" s="5"/>
      <c r="C79" s="5"/>
      <c r="D79" s="4"/>
    </row>
    <row r="80" spans="2:4" s="2" customFormat="1" ht="12.75">
      <c r="B80" s="5"/>
      <c r="C80" s="5"/>
      <c r="D80" s="4"/>
    </row>
    <row r="81" spans="2:4" s="2" customFormat="1" ht="12.75">
      <c r="B81" s="5"/>
      <c r="C81" s="5"/>
      <c r="D81" s="4"/>
    </row>
    <row r="82" spans="2:4" s="2" customFormat="1" ht="12.75">
      <c r="B82" s="5"/>
      <c r="C82" s="5"/>
      <c r="D82" s="4"/>
    </row>
    <row r="83" spans="2:4" s="2" customFormat="1" ht="12.75">
      <c r="B83" s="5"/>
      <c r="C83" s="5"/>
      <c r="D83" s="4"/>
    </row>
    <row r="84" spans="2:4" s="2" customFormat="1" ht="12.75">
      <c r="B84" s="5"/>
      <c r="C84" s="5"/>
      <c r="D84" s="4"/>
    </row>
    <row r="85" spans="2:4" s="2" customFormat="1" ht="12.75">
      <c r="B85" s="5"/>
      <c r="C85" s="5"/>
      <c r="D85" s="4"/>
    </row>
    <row r="86" spans="2:4" s="2" customFormat="1" ht="12.75">
      <c r="B86" s="5"/>
      <c r="C86" s="5"/>
      <c r="D86" s="4"/>
    </row>
    <row r="87" spans="2:4" s="2" customFormat="1" ht="12.75">
      <c r="B87" s="5"/>
      <c r="C87" s="5"/>
      <c r="D87" s="4"/>
    </row>
    <row r="88" spans="2:4" s="2" customFormat="1" ht="12.75">
      <c r="B88" s="5"/>
      <c r="C88" s="5"/>
      <c r="D88" s="4"/>
    </row>
    <row r="89" spans="2:4" s="2" customFormat="1" ht="12.75">
      <c r="B89" s="5"/>
      <c r="C89" s="5"/>
      <c r="D89" s="4"/>
    </row>
    <row r="90" spans="2:4" s="2" customFormat="1" ht="12.75">
      <c r="B90" s="5"/>
      <c r="C90" s="5"/>
      <c r="D90" s="4"/>
    </row>
    <row r="91" spans="2:4" s="2" customFormat="1" ht="12.75">
      <c r="B91" s="5"/>
      <c r="C91" s="5"/>
      <c r="D91" s="4"/>
    </row>
    <row r="92" spans="2:4" s="2" customFormat="1" ht="12.75">
      <c r="B92" s="5"/>
      <c r="C92" s="5"/>
      <c r="D92" s="4"/>
    </row>
    <row r="93" spans="2:4" s="2" customFormat="1" ht="12.75">
      <c r="B93" s="5"/>
      <c r="C93" s="5"/>
      <c r="D93" s="4"/>
    </row>
    <row r="94" spans="2:4" s="2" customFormat="1" ht="12.75">
      <c r="B94" s="5"/>
      <c r="C94" s="5"/>
      <c r="D94" s="4"/>
    </row>
    <row r="95" spans="2:4" s="2" customFormat="1" ht="12.75">
      <c r="B95" s="5"/>
      <c r="C95" s="5"/>
      <c r="D95" s="4"/>
    </row>
    <row r="96" spans="2:4" s="2" customFormat="1" ht="12.75">
      <c r="B96" s="5"/>
      <c r="C96" s="5"/>
      <c r="D96" s="4"/>
    </row>
    <row r="97" spans="2:4" s="2" customFormat="1" ht="12.75">
      <c r="B97" s="5"/>
      <c r="C97" s="5"/>
      <c r="D97" s="4"/>
    </row>
    <row r="98" spans="2:4" s="2" customFormat="1" ht="12.75">
      <c r="B98" s="5"/>
      <c r="C98" s="5"/>
      <c r="D98" s="4"/>
    </row>
    <row r="99" spans="2:4" s="2" customFormat="1" ht="12.75">
      <c r="B99" s="5"/>
      <c r="C99" s="5"/>
      <c r="D99" s="4"/>
    </row>
    <row r="100" spans="2:4" s="2" customFormat="1" ht="12.75">
      <c r="B100" s="5"/>
      <c r="C100" s="5"/>
      <c r="D100" s="4"/>
    </row>
    <row r="101" spans="2:4" s="2" customFormat="1" ht="12.75">
      <c r="B101" s="5"/>
      <c r="C101" s="5"/>
      <c r="D101" s="4"/>
    </row>
    <row r="102" spans="2:4" s="2" customFormat="1" ht="12.75">
      <c r="B102" s="5"/>
      <c r="C102" s="5"/>
      <c r="D102" s="4"/>
    </row>
    <row r="103" spans="2:4" s="2" customFormat="1" ht="12.75">
      <c r="B103" s="5"/>
      <c r="C103" s="5"/>
      <c r="D103" s="4"/>
    </row>
    <row r="104" spans="2:4" s="2" customFormat="1" ht="12.75">
      <c r="B104" s="5"/>
      <c r="C104" s="5"/>
      <c r="D104" s="4"/>
    </row>
    <row r="105" spans="2:4" s="2" customFormat="1" ht="12.75">
      <c r="B105" s="5"/>
      <c r="C105" s="5"/>
      <c r="D105" s="4"/>
    </row>
    <row r="106" spans="2:4" s="2" customFormat="1" ht="12.75">
      <c r="B106" s="5"/>
      <c r="C106" s="5"/>
      <c r="D106" s="4"/>
    </row>
    <row r="107" spans="2:4" s="2" customFormat="1" ht="12.75">
      <c r="B107" s="5"/>
      <c r="C107" s="5"/>
      <c r="D107" s="4"/>
    </row>
    <row r="108" spans="2:4" s="2" customFormat="1" ht="12.75">
      <c r="B108" s="5"/>
      <c r="C108" s="5"/>
      <c r="D108" s="4"/>
    </row>
    <row r="109" spans="2:4" s="2" customFormat="1" ht="12.75">
      <c r="B109" s="5"/>
      <c r="C109" s="5"/>
      <c r="D109" s="4"/>
    </row>
    <row r="110" spans="2:4" s="2" customFormat="1" ht="12.75">
      <c r="B110" s="5"/>
      <c r="C110" s="5"/>
      <c r="D110" s="4"/>
    </row>
    <row r="111" spans="2:4" s="2" customFormat="1" ht="12.75">
      <c r="B111" s="5"/>
      <c r="C111" s="5"/>
      <c r="D111" s="4"/>
    </row>
    <row r="112" spans="2:4" s="2" customFormat="1" ht="12.75">
      <c r="B112" s="5"/>
      <c r="C112" s="5"/>
      <c r="D112" s="4"/>
    </row>
    <row r="113" spans="2:4" s="2" customFormat="1" ht="12.75">
      <c r="B113" s="5"/>
      <c r="C113" s="5"/>
      <c r="D113" s="4"/>
    </row>
    <row r="114" spans="2:4" s="2" customFormat="1" ht="12.75">
      <c r="B114" s="5"/>
      <c r="C114" s="5"/>
      <c r="D114" s="4"/>
    </row>
    <row r="115" spans="2:4" s="2" customFormat="1" ht="12.75">
      <c r="B115" s="5"/>
      <c r="C115" s="5"/>
      <c r="D115" s="4"/>
    </row>
    <row r="116" spans="2:4" s="2" customFormat="1" ht="12.75">
      <c r="B116" s="5"/>
      <c r="C116" s="5"/>
      <c r="D116" s="4"/>
    </row>
    <row r="117" spans="2:4" s="2" customFormat="1" ht="12.75">
      <c r="B117" s="5"/>
      <c r="C117" s="5"/>
      <c r="D117" s="4"/>
    </row>
    <row r="118" spans="2:4" s="2" customFormat="1" ht="12.75">
      <c r="B118" s="5"/>
      <c r="C118" s="5"/>
      <c r="D118" s="4"/>
    </row>
    <row r="119" spans="2:4" s="2" customFormat="1" ht="12.75">
      <c r="B119" s="5"/>
      <c r="C119" s="5"/>
      <c r="D119" s="4"/>
    </row>
    <row r="120" spans="2:4" s="2" customFormat="1" ht="12.75">
      <c r="B120" s="5"/>
      <c r="C120" s="5"/>
      <c r="D120" s="4"/>
    </row>
    <row r="121" spans="2:4" s="2" customFormat="1" ht="12.75">
      <c r="B121" s="5"/>
      <c r="C121" s="5"/>
      <c r="D121" s="4"/>
    </row>
    <row r="122" spans="2:4" s="2" customFormat="1" ht="12.75">
      <c r="B122" s="5"/>
      <c r="C122" s="5"/>
      <c r="D122" s="4"/>
    </row>
    <row r="123" spans="2:4" s="2" customFormat="1" ht="12.75">
      <c r="B123" s="5"/>
      <c r="C123" s="5"/>
      <c r="D123" s="4"/>
    </row>
    <row r="124" spans="2:4" s="2" customFormat="1" ht="12.75">
      <c r="B124" s="5"/>
      <c r="C124" s="5"/>
      <c r="D124" s="4"/>
    </row>
    <row r="125" spans="2:4" s="2" customFormat="1" ht="12.75">
      <c r="B125" s="5"/>
      <c r="C125" s="5"/>
      <c r="D125" s="4"/>
    </row>
    <row r="126" spans="2:4" s="2" customFormat="1" ht="12.75">
      <c r="B126" s="5"/>
      <c r="C126" s="5"/>
      <c r="D126" s="4"/>
    </row>
    <row r="127" spans="2:4" s="2" customFormat="1" ht="12.75">
      <c r="B127" s="5"/>
      <c r="C127" s="5"/>
      <c r="D127" s="4"/>
    </row>
    <row r="128" spans="2:4" s="2" customFormat="1" ht="12.75">
      <c r="B128" s="5"/>
      <c r="C128" s="5"/>
      <c r="D128" s="4"/>
    </row>
    <row r="129" spans="2:4" s="2" customFormat="1" ht="12.75">
      <c r="B129" s="5"/>
      <c r="C129" s="5"/>
      <c r="D129" s="4"/>
    </row>
    <row r="130" spans="2:4" s="2" customFormat="1" ht="12.75">
      <c r="B130" s="5"/>
      <c r="C130" s="5"/>
      <c r="D130" s="4"/>
    </row>
    <row r="131" spans="2:4" s="2" customFormat="1" ht="12.75">
      <c r="B131" s="5"/>
      <c r="C131" s="5"/>
      <c r="D131" s="4"/>
    </row>
    <row r="132" spans="2:4" s="2" customFormat="1" ht="12.75">
      <c r="B132" s="5"/>
      <c r="C132" s="5"/>
      <c r="D132" s="4"/>
    </row>
    <row r="133" spans="2:4" s="2" customFormat="1" ht="12.75">
      <c r="B133" s="5"/>
      <c r="C133" s="5"/>
      <c r="D133" s="4"/>
    </row>
    <row r="134" spans="2:4" s="2" customFormat="1" ht="12.75">
      <c r="B134" s="5"/>
      <c r="C134" s="5"/>
      <c r="D134" s="4"/>
    </row>
    <row r="135" spans="2:4" s="2" customFormat="1" ht="12.75">
      <c r="B135" s="5"/>
      <c r="C135" s="5"/>
      <c r="D135" s="4"/>
    </row>
    <row r="136" spans="2:4" s="2" customFormat="1" ht="12.75">
      <c r="B136" s="5"/>
      <c r="C136" s="5"/>
      <c r="D136" s="4"/>
    </row>
    <row r="137" spans="2:4" s="2" customFormat="1" ht="12.75">
      <c r="B137" s="5"/>
      <c r="C137" s="5"/>
      <c r="D137" s="4"/>
    </row>
    <row r="138" spans="2:4" s="2" customFormat="1" ht="12.75">
      <c r="B138" s="5"/>
      <c r="C138" s="5"/>
      <c r="D138" s="4"/>
    </row>
    <row r="139" spans="2:4" s="2" customFormat="1" ht="12.75">
      <c r="B139" s="5"/>
      <c r="C139" s="5"/>
      <c r="D139" s="4"/>
    </row>
    <row r="140" spans="2:4" s="2" customFormat="1" ht="12.75">
      <c r="B140" s="5"/>
      <c r="C140" s="5"/>
      <c r="D140" s="4"/>
    </row>
    <row r="141" spans="2:4" s="2" customFormat="1" ht="12.75">
      <c r="B141" s="5"/>
      <c r="C141" s="5"/>
      <c r="D141" s="4"/>
    </row>
    <row r="142" spans="2:4" s="2" customFormat="1" ht="12.75">
      <c r="B142" s="5"/>
      <c r="C142" s="5"/>
      <c r="D142" s="4"/>
    </row>
    <row r="143" spans="2:4" s="2" customFormat="1" ht="12.75">
      <c r="B143" s="5"/>
      <c r="C143" s="5"/>
      <c r="D143" s="4"/>
    </row>
    <row r="144" spans="2:4" s="2" customFormat="1" ht="12.75">
      <c r="B144" s="5"/>
      <c r="C144" s="5"/>
      <c r="D144" s="4"/>
    </row>
    <row r="145" spans="2:4" s="2" customFormat="1" ht="12.75">
      <c r="B145" s="5"/>
      <c r="C145" s="5"/>
      <c r="D145" s="4"/>
    </row>
    <row r="146" spans="2:4" s="2" customFormat="1" ht="12.75">
      <c r="B146" s="5"/>
      <c r="C146" s="5"/>
      <c r="D146" s="4"/>
    </row>
    <row r="147" spans="2:4" s="2" customFormat="1" ht="12.75">
      <c r="B147" s="5"/>
      <c r="C147" s="5"/>
      <c r="D147" s="4"/>
    </row>
    <row r="148" spans="2:4" s="2" customFormat="1" ht="12.75">
      <c r="B148" s="5"/>
      <c r="C148" s="5"/>
      <c r="D148" s="4"/>
    </row>
    <row r="149" spans="2:4" s="2" customFormat="1" ht="12.75">
      <c r="B149" s="5"/>
      <c r="C149" s="5"/>
      <c r="D149" s="4"/>
    </row>
    <row r="150" spans="2:4" s="2" customFormat="1" ht="12.75">
      <c r="B150" s="5"/>
      <c r="C150" s="5"/>
      <c r="D150" s="4"/>
    </row>
    <row r="151" spans="2:4" s="2" customFormat="1" ht="12.75">
      <c r="B151" s="5"/>
      <c r="C151" s="5"/>
      <c r="D151" s="4"/>
    </row>
    <row r="152" spans="2:4" s="2" customFormat="1" ht="12.75">
      <c r="B152" s="5"/>
      <c r="C152" s="5"/>
      <c r="D152" s="4"/>
    </row>
    <row r="153" spans="2:4" s="2" customFormat="1" ht="12.75">
      <c r="B153" s="5"/>
      <c r="C153" s="5"/>
      <c r="D153" s="4"/>
    </row>
    <row r="154" spans="2:4" s="2" customFormat="1" ht="12.75">
      <c r="B154" s="5"/>
      <c r="C154" s="5"/>
      <c r="D154" s="4"/>
    </row>
    <row r="155" spans="2:4" s="2" customFormat="1" ht="12.75">
      <c r="B155" s="5"/>
      <c r="C155" s="5"/>
      <c r="D155" s="4"/>
    </row>
    <row r="156" spans="2:4" s="2" customFormat="1" ht="12.75">
      <c r="B156" s="5"/>
      <c r="C156" s="5"/>
      <c r="D156" s="4"/>
    </row>
    <row r="157" spans="2:4" s="2" customFormat="1" ht="12.75">
      <c r="B157" s="5"/>
      <c r="C157" s="5"/>
      <c r="D157" s="4"/>
    </row>
    <row r="158" spans="2:4" s="2" customFormat="1" ht="12.75">
      <c r="B158" s="5"/>
      <c r="C158" s="5"/>
      <c r="D158" s="4"/>
    </row>
    <row r="159" spans="2:4" s="2" customFormat="1" ht="12.75">
      <c r="B159" s="5"/>
      <c r="C159" s="5"/>
      <c r="D159" s="4"/>
    </row>
    <row r="160" spans="2:4" s="2" customFormat="1" ht="12.75">
      <c r="B160" s="5"/>
      <c r="C160" s="5"/>
      <c r="D160" s="4"/>
    </row>
    <row r="161" spans="2:4" s="2" customFormat="1" ht="12.75">
      <c r="B161" s="5"/>
      <c r="C161" s="5"/>
      <c r="D161" s="4"/>
    </row>
    <row r="162" spans="2:4" s="2" customFormat="1" ht="12.75">
      <c r="B162" s="5"/>
      <c r="C162" s="5"/>
      <c r="D162" s="4"/>
    </row>
    <row r="163" spans="2:4" s="2" customFormat="1" ht="12.75">
      <c r="B163" s="5"/>
      <c r="C163" s="5"/>
      <c r="D163" s="4"/>
    </row>
    <row r="164" spans="2:4" s="2" customFormat="1" ht="12.75">
      <c r="B164" s="5"/>
      <c r="C164" s="5"/>
      <c r="D164" s="4"/>
    </row>
    <row r="165" spans="2:4" s="2" customFormat="1" ht="12.75">
      <c r="B165" s="5"/>
      <c r="C165" s="5"/>
      <c r="D165" s="4"/>
    </row>
    <row r="166" spans="2:4" s="2" customFormat="1" ht="12.75">
      <c r="B166" s="5"/>
      <c r="C166" s="5"/>
      <c r="D166" s="4"/>
    </row>
    <row r="167" spans="2:4" s="2" customFormat="1" ht="12.75">
      <c r="B167" s="5"/>
      <c r="C167" s="5"/>
      <c r="D167" s="4"/>
    </row>
    <row r="168" spans="2:4" s="2" customFormat="1" ht="12.75">
      <c r="B168" s="5"/>
      <c r="C168" s="5"/>
      <c r="D168" s="4"/>
    </row>
    <row r="169" spans="2:4" s="2" customFormat="1" ht="12.75">
      <c r="B169" s="5"/>
      <c r="C169" s="5"/>
      <c r="D169" s="4"/>
    </row>
    <row r="170" spans="2:4" s="2" customFormat="1" ht="12.75">
      <c r="B170" s="5"/>
      <c r="C170" s="5"/>
      <c r="D170" s="4"/>
    </row>
    <row r="171" spans="2:4" s="2" customFormat="1" ht="12.75">
      <c r="B171" s="5"/>
      <c r="C171" s="5"/>
      <c r="D171" s="4"/>
    </row>
    <row r="172" spans="2:4" s="2" customFormat="1" ht="12.75">
      <c r="B172" s="5"/>
      <c r="C172" s="5"/>
      <c r="D172" s="4"/>
    </row>
    <row r="173" spans="2:4" s="2" customFormat="1" ht="12.75">
      <c r="B173" s="5"/>
      <c r="C173" s="5"/>
      <c r="D173" s="4"/>
    </row>
    <row r="174" spans="2:4" s="2" customFormat="1" ht="12.75">
      <c r="B174" s="5"/>
      <c r="C174" s="5"/>
      <c r="D174" s="4"/>
    </row>
    <row r="175" spans="2:4" s="2" customFormat="1" ht="12.75">
      <c r="B175" s="5"/>
      <c r="C175" s="5"/>
      <c r="D175" s="4"/>
    </row>
    <row r="176" spans="2:4" s="2" customFormat="1" ht="12.75">
      <c r="B176" s="5"/>
      <c r="C176" s="5"/>
      <c r="D176" s="4"/>
    </row>
    <row r="177" spans="2:4" s="2" customFormat="1" ht="12.75">
      <c r="B177" s="5"/>
      <c r="C177" s="5"/>
      <c r="D177" s="4"/>
    </row>
    <row r="178" spans="2:4" s="2" customFormat="1" ht="12.75">
      <c r="B178" s="5"/>
      <c r="C178" s="5"/>
      <c r="D178" s="4"/>
    </row>
    <row r="179" spans="2:4" s="2" customFormat="1" ht="12.75">
      <c r="B179" s="5"/>
      <c r="C179" s="5"/>
      <c r="D179" s="4"/>
    </row>
    <row r="180" spans="2:4" s="2" customFormat="1" ht="12.75">
      <c r="B180" s="5"/>
      <c r="C180" s="5"/>
      <c r="D180" s="4"/>
    </row>
    <row r="181" spans="2:4" s="2" customFormat="1" ht="12.75">
      <c r="B181" s="5"/>
      <c r="C181" s="5"/>
      <c r="D181" s="4"/>
    </row>
    <row r="182" spans="2:4" s="2" customFormat="1" ht="12.75">
      <c r="B182" s="5"/>
      <c r="C182" s="5"/>
      <c r="D182" s="4"/>
    </row>
    <row r="183" spans="2:4" s="2" customFormat="1" ht="12.75">
      <c r="B183" s="5"/>
      <c r="C183" s="5"/>
      <c r="D183" s="4"/>
    </row>
    <row r="184" spans="2:4" s="2" customFormat="1" ht="12.75">
      <c r="B184" s="5"/>
      <c r="C184" s="5"/>
      <c r="D184" s="4"/>
    </row>
    <row r="185" spans="2:4" s="2" customFormat="1" ht="12.75">
      <c r="B185" s="5"/>
      <c r="C185" s="5"/>
      <c r="D185" s="4"/>
    </row>
    <row r="186" spans="2:4" s="2" customFormat="1" ht="12.75">
      <c r="B186" s="5"/>
      <c r="C186" s="5"/>
      <c r="D186" s="4"/>
    </row>
    <row r="187" spans="2:4" s="2" customFormat="1" ht="12.75">
      <c r="B187" s="5"/>
      <c r="C187" s="5"/>
      <c r="D187" s="4"/>
    </row>
    <row r="188" spans="2:4" s="2" customFormat="1" ht="12.75">
      <c r="B188" s="5"/>
      <c r="C188" s="5"/>
      <c r="D188" s="4"/>
    </row>
    <row r="189" spans="2:4" s="2" customFormat="1" ht="12.75">
      <c r="B189" s="5"/>
      <c r="C189" s="5"/>
      <c r="D189" s="4"/>
    </row>
    <row r="190" spans="2:4" s="2" customFormat="1" ht="12.75">
      <c r="B190" s="5"/>
      <c r="C190" s="5"/>
      <c r="D190" s="4"/>
    </row>
    <row r="191" spans="2:4" s="2" customFormat="1" ht="12.75">
      <c r="B191" s="5"/>
      <c r="C191" s="5"/>
      <c r="D191" s="4"/>
    </row>
  </sheetData>
  <printOptions horizontalCentered="1"/>
  <pageMargins left="0.39375" right="0.19652777777777777" top="1.3006944444444444" bottom="1.261111111111111" header="0.6694444444444444" footer="0.6298611111111111"/>
  <pageSetup horizontalDpi="300" verticalDpi="300" orientation="portrait" paperSize="9"/>
  <headerFooter alignWithMargins="0">
    <oddHeader>&amp;CCharakter-Lernliste V1.2 - 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Hella Menschel</cp:lastModifiedBy>
  <cp:lastPrinted>2008-07-28T13:51:02Z</cp:lastPrinted>
  <dcterms:created xsi:type="dcterms:W3CDTF">1999-04-18T16:13:23Z</dcterms:created>
  <dcterms:modified xsi:type="dcterms:W3CDTF">2009-03-12T13:41:49Z</dcterms:modified>
  <cp:category/>
  <cp:version/>
  <cp:contentType/>
  <cp:contentStatus/>
  <cp:revision>189</cp:revision>
</cp:coreProperties>
</file>